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shi Prabhakar\Documents\General Resources and Useful Documents\Combined Risk Model\"/>
    </mc:Choice>
  </mc:AlternateContent>
  <bookViews>
    <workbookView xWindow="0" yWindow="0" windowWidth="11690" windowHeight="7200" activeTab="3"/>
  </bookViews>
  <sheets>
    <sheet name="Direct Costs" sheetId="2" r:id="rId1"/>
    <sheet name="RiskSerializationData" sheetId="29" state="hidden" r:id="rId2"/>
    <sheet name="Indirect Costs" sheetId="3" r:id="rId3"/>
    <sheet name="Results" sheetId="7" r:id="rId4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DistributionFormat01" hidden="1">2</definedName>
    <definedName name="_AtRisk_SimSetting_ReportOptionCustomItemDistributionFormat02" hidden="1">1</definedName>
    <definedName name="_AtRisk_SimSetting_ReportOptionCustomItemDistributionFormat03" hidden="1">0</definedName>
    <definedName name="_AtRisk_SimSetting_ReportOptionCustomItemGraphFormat01" hidden="1">2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1</definedName>
    <definedName name="_AtRisk_SimSetting_ReportOptionCustomItemItemType01" hidden="1">1</definedName>
    <definedName name="_AtRisk_SimSetting_ReportOptionCustomItemItemType02" hidden="1">3</definedName>
    <definedName name="_AtRisk_SimSetting_ReportOptionCustomItemItemType03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sCount" hidden="1">3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2</definedName>
    <definedName name="_AtRisk_SimSetting_ReportOptionReportSelection" hidden="1">8192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8192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Names">'Direct Costs'!$B$3:$C$9</definedName>
    <definedName name="Pal_Workbook_GUID" hidden="1">"2ZCV84VN7EFTSA14ET1ET17A"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"$D$13"</definedName>
    <definedName name="RiskSelectedNameCell1" hidden="1">"$B$13"</definedName>
    <definedName name="RiskSelectedNameCell2" hidden="1">"$D$3"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TWBD_StatToolsScatterplot_DisplayCorrelationCoefficient" hidden="1">"TRUE"</definedName>
    <definedName name="STWBD_StatToolsScatterplot_HasDefaultInfo" hidden="1">"TRUE"</definedName>
    <definedName name="STWBD_StatToolsScatterplot_VarSelectorDefaultDataSet" hidden="1">"DG112DE1EF"</definedName>
    <definedName name="STWBD_StatToolsScatterplot_XVariableList" hidden="1">2</definedName>
    <definedName name="STWBD_StatToolsScatterplot_XVariableList_1" hidden="1">"U_x0001_VG2D57BF831D729B26_x0001_"</definedName>
    <definedName name="STWBD_StatToolsScatterplot_XVariableList_2" hidden="1">"U_x0001_VG1E330A271EE8C447_x0001_"</definedName>
    <definedName name="STWBD_StatToolsScatterplot_YVariableList" hidden="1">1</definedName>
    <definedName name="STWBD_StatToolsScatterplot_YVariableList_1" hidden="1">"U_x0001_VGFC9F36D570F001_x0001_"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D13" i="3"/>
  <c r="D12" i="3"/>
  <c r="D11" i="3"/>
  <c r="D10" i="3"/>
  <c r="D9" i="3"/>
  <c r="D8" i="3"/>
  <c r="D7" i="3"/>
  <c r="D6" i="3"/>
  <c r="D5" i="3"/>
  <c r="D4" i="3"/>
  <c r="J3" i="2"/>
  <c r="J4" i="2"/>
  <c r="J5" i="2"/>
  <c r="J6" i="2"/>
  <c r="J7" i="2"/>
  <c r="J8" i="2"/>
  <c r="J9" i="2"/>
  <c r="J10" i="2"/>
  <c r="E14" i="3"/>
  <c r="E13" i="3"/>
  <c r="E12" i="3"/>
  <c r="E11" i="3"/>
  <c r="E10" i="3"/>
  <c r="E9" i="3"/>
  <c r="E8" i="3"/>
  <c r="E7" i="3"/>
  <c r="E6" i="3"/>
  <c r="E5" i="3"/>
  <c r="E4" i="3"/>
  <c r="I3" i="2"/>
  <c r="G3" i="2"/>
  <c r="C13" i="2"/>
  <c r="I10" i="2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I5" i="2"/>
  <c r="H5" i="2"/>
  <c r="G5" i="2"/>
  <c r="I4" i="2"/>
  <c r="H4" i="2"/>
  <c r="G4" i="2"/>
  <c r="H3" i="2"/>
  <c r="E17" i="3"/>
  <c r="F14" i="3"/>
  <c r="M13" i="3"/>
  <c r="M4" i="3"/>
  <c r="M6" i="3"/>
  <c r="N12" i="3"/>
  <c r="N11" i="3"/>
  <c r="F6" i="3"/>
  <c r="M12" i="3"/>
  <c r="F11" i="3"/>
  <c r="O11" i="3" s="1"/>
  <c r="M11" i="3"/>
  <c r="F8" i="3"/>
  <c r="N8" i="3"/>
  <c r="F9" i="3"/>
  <c r="N9" i="3"/>
  <c r="F12" i="3"/>
  <c r="N6" i="3"/>
  <c r="N14" i="3"/>
  <c r="F7" i="3"/>
  <c r="N10" i="3"/>
  <c r="F4" i="3"/>
  <c r="O4" i="3" s="1"/>
  <c r="M5" i="3"/>
  <c r="F5" i="3"/>
  <c r="M14" i="3"/>
  <c r="F10" i="3"/>
  <c r="N4" i="3"/>
  <c r="O14" i="3"/>
  <c r="M7" i="3"/>
  <c r="N5" i="3"/>
  <c r="N13" i="3"/>
  <c r="M10" i="3"/>
  <c r="M8" i="3"/>
  <c r="N7" i="3"/>
  <c r="O7" i="3"/>
  <c r="M9" i="3"/>
  <c r="F13" i="3"/>
  <c r="J13" i="2" l="1"/>
  <c r="C18" i="3"/>
  <c r="O13" i="3"/>
  <c r="O9" i="3"/>
  <c r="O10" i="3"/>
  <c r="O8" i="3"/>
  <c r="C14" i="7"/>
  <c r="C7" i="7"/>
  <c r="C12" i="7"/>
  <c r="C5" i="7"/>
  <c r="C23" i="3"/>
  <c r="D13" i="7"/>
  <c r="D14" i="7"/>
  <c r="O5" i="3"/>
  <c r="O6" i="3"/>
  <c r="C10" i="7"/>
  <c r="C16" i="2"/>
  <c r="C8" i="7"/>
  <c r="C24" i="3"/>
  <c r="D12" i="7"/>
  <c r="D9" i="7"/>
  <c r="D10" i="7"/>
  <c r="O12" i="3"/>
  <c r="C6" i="7"/>
  <c r="E15" i="2"/>
  <c r="C13" i="7"/>
  <c r="D11" i="7"/>
  <c r="D8" i="7"/>
  <c r="D5" i="7"/>
  <c r="D6" i="7"/>
  <c r="C11" i="7"/>
  <c r="C17" i="2"/>
  <c r="C9" i="7"/>
  <c r="D7" i="7"/>
  <c r="C26" i="3"/>
  <c r="C25" i="3"/>
  <c r="C18" i="2" l="1"/>
  <c r="C19" i="3"/>
  <c r="G6" i="7"/>
  <c r="G10" i="7"/>
  <c r="G14" i="7"/>
  <c r="G5" i="7"/>
  <c r="G9" i="7"/>
  <c r="G13" i="7"/>
  <c r="G8" i="7"/>
  <c r="G12" i="7"/>
  <c r="G7" i="7"/>
  <c r="G11" i="7"/>
  <c r="C20" i="3"/>
  <c r="I14" i="7"/>
  <c r="I8" i="7"/>
  <c r="I5" i="7"/>
  <c r="I12" i="7"/>
  <c r="I11" i="7"/>
  <c r="I6" i="7"/>
  <c r="I9" i="7"/>
  <c r="I7" i="7"/>
  <c r="I13" i="7"/>
  <c r="I10" i="7"/>
  <c r="E12" i="7"/>
  <c r="E5" i="7"/>
  <c r="E11" i="7"/>
  <c r="E7" i="7"/>
  <c r="E8" i="7"/>
  <c r="E14" i="7"/>
  <c r="E13" i="7"/>
  <c r="E10" i="7"/>
  <c r="E9" i="7"/>
  <c r="E6" i="7"/>
  <c r="H5" i="7" l="1"/>
  <c r="H8" i="7"/>
  <c r="H14" i="7"/>
  <c r="H11" i="7"/>
  <c r="H13" i="7"/>
  <c r="H10" i="7"/>
  <c r="H12" i="7"/>
  <c r="H7" i="7"/>
  <c r="H9" i="7"/>
  <c r="H6" i="7"/>
</calcChain>
</file>

<file path=xl/comments1.xml><?xml version="1.0" encoding="utf-8"?>
<comments xmlns="http://schemas.openxmlformats.org/spreadsheetml/2006/main">
  <authors>
    <author>Chris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All monetary values are in thousands of dollars.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<sst xmlns="http://schemas.openxmlformats.org/spreadsheetml/2006/main" count="67" uniqueCount="62">
  <si>
    <t>Cost elements</t>
  </si>
  <si>
    <t>Base Case</t>
  </si>
  <si>
    <t>Sampled</t>
  </si>
  <si>
    <t>Land</t>
  </si>
  <si>
    <t>Buildings</t>
  </si>
  <si>
    <t>Raw Mats</t>
  </si>
  <si>
    <t>Salaries  etc</t>
  </si>
  <si>
    <t>IT</t>
  </si>
  <si>
    <t>Vehicles</t>
  </si>
  <si>
    <t>Marketing</t>
  </si>
  <si>
    <t>Other general overhead</t>
  </si>
  <si>
    <t>Output</t>
  </si>
  <si>
    <t>Totals</t>
  </si>
  <si>
    <t>Summary statistics</t>
  </si>
  <si>
    <t>Probability of meeting base case value</t>
  </si>
  <si>
    <t>Uncertain inputs</t>
  </si>
  <si>
    <t>Event</t>
  </si>
  <si>
    <t>Major failure of IT system</t>
  </si>
  <si>
    <t>Problem with manufacturing process</t>
  </si>
  <si>
    <t>Serious illness of a board member</t>
  </si>
  <si>
    <t xml:space="preserve">Employee wins law suit </t>
  </si>
  <si>
    <t>Entry of new competitor</t>
  </si>
  <si>
    <t>Failure of new product launch</t>
  </si>
  <si>
    <t>Strengthening of dollar exchange rate</t>
  </si>
  <si>
    <t>Fire in head office</t>
  </si>
  <si>
    <t>Fraud</t>
  </si>
  <si>
    <t>Confidential data lost</t>
  </si>
  <si>
    <t>Large customer goes bankrupt</t>
  </si>
  <si>
    <t>Mean total impact</t>
  </si>
  <si>
    <t>Stdev total impact</t>
  </si>
  <si>
    <t>P(total impact &gt; $1 million)</t>
  </si>
  <si>
    <t>Indirect / Contingent Risks</t>
  </si>
  <si>
    <t>Direct / Inherent Costs</t>
  </si>
  <si>
    <t>Total Project Cost</t>
  </si>
  <si>
    <t>Low/P5</t>
  </si>
  <si>
    <t>Mid/P50</t>
  </si>
  <si>
    <t>High/P95</t>
  </si>
  <si>
    <t>Impact if occurs once</t>
  </si>
  <si>
    <t>Sampled Frequency</t>
  </si>
  <si>
    <t>Low</t>
  </si>
  <si>
    <t>Mid</t>
  </si>
  <si>
    <t>High</t>
  </si>
  <si>
    <t>Probability or Mean</t>
  </si>
  <si>
    <t>All events are either one-offs or countable without obvious boundaries.</t>
  </si>
  <si>
    <t>Values scaled to dollars from 000's.</t>
  </si>
  <si>
    <t>Sampled or Possible Impact</t>
  </si>
  <si>
    <t>Min</t>
  </si>
  <si>
    <t>P(total impact &lt;= $0)</t>
  </si>
  <si>
    <t>Simulation Statistics</t>
  </si>
  <si>
    <t>Direct</t>
  </si>
  <si>
    <t>Indirect</t>
  </si>
  <si>
    <t>Total</t>
  </si>
  <si>
    <t>Mean</t>
  </si>
  <si>
    <t>TruncMax</t>
  </si>
  <si>
    <t>Sim Max</t>
  </si>
  <si>
    <t>D + I</t>
  </si>
  <si>
    <t>Total budget required for 90% confidence</t>
  </si>
  <si>
    <t>Contingency required for 90% confidence</t>
  </si>
  <si>
    <t>Lower Limit</t>
  </si>
  <si>
    <t>Upper Limit</t>
  </si>
  <si>
    <t>% diff</t>
  </si>
  <si>
    <t>Total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</si>
</sst>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164" formatCode="0.000"/>
    <numFmt numFmtId="165" formatCode="&quot;$&quot;#,##0"/>
    <numFmt numFmtId="166" formatCode="0.00000000000%"/>
    <numFmt numFmtId="167" formatCode="0.0"/>
    <numFmt numFmtId="168" formatCode="0.0%"/>
    <numFmt numFmtId="169" formatCode="0.000%"/>
    <numFmt numFmtId="170" formatCode="_-&quot;$&quot;* #,##0_-;\-&quot;$&quot;* #,##0_-;_-&quot;$&quot;* &quot;-&quot;??_-;_-@_-"/>
  </numFmts>
  <fonts count="11" x14ac:knownFonts="1">
    <font>
      <sz val="11"/>
      <color theme="1"/>
      <name val="Constantia"/>
      <family val="2"/>
      <scheme val="minor"/>
    </font>
    <font>
      <b/>
      <sz val="11"/>
      <color theme="1"/>
      <name val="Constantia"/>
      <family val="2"/>
      <scheme val="minor"/>
    </font>
    <font>
      <b/>
      <sz val="11"/>
      <name val="Constantia"/>
      <family val="2"/>
      <scheme val="minor"/>
    </font>
    <font>
      <sz val="11"/>
      <name val="Constantia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onstantia"/>
      <family val="2"/>
      <scheme val="minor"/>
    </font>
    <font>
      <b/>
      <i/>
      <sz val="11"/>
      <color theme="1"/>
      <name val="Constantia"/>
      <family val="2"/>
      <scheme val="minor"/>
    </font>
    <font>
      <i/>
      <sz val="11"/>
      <color theme="1"/>
      <name val="Constantia"/>
      <family val="2"/>
      <scheme val="minor"/>
    </font>
    <font>
      <i/>
      <sz val="11"/>
      <name val="Constantia"/>
      <family val="2"/>
      <scheme val="minor"/>
    </font>
    <font>
      <i/>
      <sz val="11"/>
      <color theme="1"/>
      <name val="Constanti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" fontId="3" fillId="0" borderId="1" xfId="0" applyNumberFormat="1" applyFont="1" applyBorder="1" applyAlignment="1">
      <alignment horizontal="right"/>
    </xf>
    <xf numFmtId="9" fontId="3" fillId="0" borderId="2" xfId="0" applyNumberFormat="1" applyFont="1" applyBorder="1" applyAlignment="1">
      <alignment horizontal="right"/>
    </xf>
    <xf numFmtId="9" fontId="3" fillId="0" borderId="3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4" xfId="0" applyNumberFormat="1" applyFont="1" applyBorder="1" applyAlignment="1">
      <alignment horizontal="right"/>
    </xf>
    <xf numFmtId="9" fontId="3" fillId="0" borderId="0" xfId="0" applyNumberFormat="1" applyFont="1" applyBorder="1" applyAlignment="1">
      <alignment horizontal="right"/>
    </xf>
    <xf numFmtId="9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9" fontId="3" fillId="0" borderId="7" xfId="0" applyNumberFormat="1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3" fontId="3" fillId="3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10" fontId="3" fillId="4" borderId="0" xfId="0" applyNumberFormat="1" applyFont="1" applyFill="1" applyAlignment="1">
      <alignment horizontal="right"/>
    </xf>
    <xf numFmtId="3" fontId="3" fillId="4" borderId="0" xfId="0" applyNumberFormat="1" applyFont="1" applyFill="1" applyAlignment="1">
      <alignment horizontal="right"/>
    </xf>
    <xf numFmtId="10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0" xfId="0" applyNumberFormat="1"/>
    <xf numFmtId="0" fontId="3" fillId="2" borderId="0" xfId="0" applyFont="1" applyFill="1"/>
    <xf numFmtId="165" fontId="3" fillId="2" borderId="0" xfId="0" applyNumberFormat="1" applyFont="1" applyFill="1"/>
    <xf numFmtId="0" fontId="3" fillId="0" borderId="0" xfId="0" applyFont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1" fillId="0" borderId="0" xfId="0" applyFont="1"/>
    <xf numFmtId="165" fontId="3" fillId="3" borderId="0" xfId="0" applyNumberFormat="1" applyFont="1" applyFill="1"/>
    <xf numFmtId="165" fontId="3" fillId="4" borderId="0" xfId="0" applyNumberFormat="1" applyFont="1" applyFill="1"/>
    <xf numFmtId="9" fontId="0" fillId="0" borderId="0" xfId="1" applyFont="1"/>
    <xf numFmtId="166" fontId="0" fillId="0" borderId="0" xfId="1" applyNumberFormat="1" applyFont="1"/>
    <xf numFmtId="167" fontId="0" fillId="0" borderId="0" xfId="1" applyNumberFormat="1" applyFo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165" fontId="3" fillId="0" borderId="0" xfId="0" applyNumberFormat="1" applyFont="1" applyFill="1"/>
    <xf numFmtId="0" fontId="7" fillId="0" borderId="0" xfId="0" applyFont="1" applyAlignment="1">
      <alignment horizontal="center" vertical="center"/>
    </xf>
    <xf numFmtId="165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165" fontId="8" fillId="0" borderId="9" xfId="0" applyNumberFormat="1" applyFont="1" applyBorder="1"/>
    <xf numFmtId="169" fontId="7" fillId="0" borderId="9" xfId="0" applyNumberFormat="1" applyFont="1" applyBorder="1" applyAlignment="1">
      <alignment horizontal="center" vertical="center"/>
    </xf>
    <xf numFmtId="0" fontId="1" fillId="0" borderId="10" xfId="0" applyFont="1" applyBorder="1"/>
    <xf numFmtId="0" fontId="0" fillId="0" borderId="10" xfId="0" applyBorder="1"/>
    <xf numFmtId="0" fontId="1" fillId="0" borderId="10" xfId="0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1" fillId="0" borderId="10" xfId="0" applyFont="1" applyBorder="1" applyAlignment="1">
      <alignment horizontal="center"/>
    </xf>
    <xf numFmtId="9" fontId="1" fillId="0" borderId="10" xfId="0" applyNumberFormat="1" applyFont="1" applyBorder="1" applyAlignment="1">
      <alignment horizontal="left"/>
    </xf>
    <xf numFmtId="10" fontId="1" fillId="0" borderId="10" xfId="0" applyNumberFormat="1" applyFont="1" applyBorder="1" applyAlignment="1">
      <alignment horizontal="left"/>
    </xf>
    <xf numFmtId="170" fontId="0" fillId="0" borderId="10" xfId="2" applyNumberFormat="1" applyFont="1" applyBorder="1"/>
    <xf numFmtId="9" fontId="1" fillId="5" borderId="10" xfId="0" applyNumberFormat="1" applyFont="1" applyFill="1" applyBorder="1" applyAlignment="1">
      <alignment horizontal="left"/>
    </xf>
    <xf numFmtId="170" fontId="1" fillId="5" borderId="10" xfId="2" applyNumberFormat="1" applyFont="1" applyFill="1" applyBorder="1"/>
    <xf numFmtId="170" fontId="0" fillId="0" borderId="0" xfId="2" applyNumberFormat="1" applyFont="1"/>
    <xf numFmtId="0" fontId="1" fillId="0" borderId="0" xfId="0" applyFont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168" fontId="3" fillId="4" borderId="0" xfId="1" applyNumberFormat="1" applyFont="1" applyFill="1"/>
    <xf numFmtId="0" fontId="1" fillId="0" borderId="10" xfId="0" applyFont="1" applyFill="1" applyBorder="1" applyAlignment="1">
      <alignment horizontal="center"/>
    </xf>
    <xf numFmtId="0" fontId="1" fillId="0" borderId="10" xfId="0" quotePrefix="1" applyFont="1" applyFill="1" applyBorder="1" applyAlignment="1">
      <alignment horizontal="center"/>
    </xf>
    <xf numFmtId="170" fontId="0" fillId="0" borderId="10" xfId="0" applyNumberFormat="1" applyBorder="1"/>
    <xf numFmtId="168" fontId="0" fillId="0" borderId="10" xfId="1" applyNumberFormat="1" applyFont="1" applyBorder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170" fontId="10" fillId="0" borderId="0" xfId="2" applyNumberFormat="1" applyFont="1"/>
  </cellXfs>
  <cellStyles count="3">
    <cellStyle name="Currency" xfId="2" builtinId="4"/>
    <cellStyle name="Normal" xfId="0" builtinId="0"/>
    <cellStyle name="Percent" xfId="1" builtinId="5"/>
  </cellStyles>
  <dxfs count="12"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00FF"/>
      </font>
    </dxf>
    <dxf>
      <font>
        <color rgb="FFDC143C"/>
      </font>
    </dxf>
    <dxf>
      <font>
        <color rgb="FF008000"/>
      </font>
    </dxf>
    <dxf>
      <font>
        <color rgb="FF0000FF"/>
      </font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rgb="FFFFFFFF"/>
      </font>
      <fill>
        <patternFill>
          <bgColor rgb="FFDC143C"/>
        </patternFill>
      </fill>
    </dxf>
    <dxf>
      <font>
        <color rgb="FF008000"/>
      </font>
    </dxf>
    <dxf>
      <font>
        <color rgb="FF0000FF"/>
      </font>
    </dxf>
    <dxf>
      <font>
        <color rgb="FFDC143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13</xdr:col>
      <xdr:colOff>0</xdr:colOff>
      <xdr:row>39</xdr:row>
      <xdr:rowOff>0</xdr:rowOff>
    </xdr:to>
    <xdr:pic>
      <xdr:nvPicPr>
        <xdr:cNvPr id="2" name="RiskRGDirect CostsR15C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2641600"/>
          <a:ext cx="6864350" cy="4419600"/>
        </a:xfrm>
        <a:prstGeom prst="rect">
          <a:avLst/>
        </a:prstGeom>
        <a:ln w="9525" cap="flat" cmpd="sng" algn="ctr">
          <a:solidFill>
            <a:srgbClr val="808080">
              <a:alpha val="50000"/>
            </a:srgbClr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14</xdr:col>
      <xdr:colOff>0</xdr:colOff>
      <xdr:row>44</xdr:row>
      <xdr:rowOff>0</xdr:rowOff>
    </xdr:to>
    <xdr:pic>
      <xdr:nvPicPr>
        <xdr:cNvPr id="2" name="RiskRGIndirect CostsR17C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5050" y="3232150"/>
          <a:ext cx="9721850" cy="4972050"/>
        </a:xfrm>
        <a:prstGeom prst="rect">
          <a:avLst/>
        </a:prstGeom>
        <a:ln w="9525" cap="flat" cmpd="sng" algn="ctr">
          <a:solidFill>
            <a:srgbClr val="808080">
              <a:alpha val="50000"/>
            </a:srgbClr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2"/>
  <sheetViews>
    <sheetView zoomScale="115" zoomScaleNormal="115" workbookViewId="0">
      <selection activeCell="E16" sqref="E16:M39"/>
    </sheetView>
  </sheetViews>
  <sheetFormatPr defaultRowHeight="14.5" x14ac:dyDescent="0.35"/>
  <cols>
    <col min="1" max="1" width="1.58203125" customWidth="1"/>
    <col min="2" max="2" width="40.25" style="1" customWidth="1"/>
    <col min="3" max="3" width="13.6640625" style="2" customWidth="1"/>
    <col min="4" max="4" width="9.25" style="2" customWidth="1"/>
    <col min="5" max="5" width="11.6640625" style="2" customWidth="1"/>
    <col min="6" max="6" width="10.5" style="2" customWidth="1"/>
    <col min="7" max="7" width="9.25" style="2" customWidth="1"/>
    <col min="8" max="8" width="11.25" style="2" customWidth="1"/>
    <col min="9" max="9" width="9.9140625" style="2" customWidth="1"/>
    <col min="10" max="10" width="10.9140625" style="2" customWidth="1"/>
    <col min="11" max="11" width="9.25" style="2" customWidth="1"/>
  </cols>
  <sheetData>
    <row r="1" spans="2:11" ht="5.15" customHeight="1" x14ac:dyDescent="0.35"/>
    <row r="2" spans="2:11" x14ac:dyDescent="0.35">
      <c r="B2" s="3" t="s">
        <v>0</v>
      </c>
      <c r="C2" s="4" t="s">
        <v>1</v>
      </c>
      <c r="D2" s="4" t="s">
        <v>34</v>
      </c>
      <c r="E2" s="4" t="s">
        <v>35</v>
      </c>
      <c r="F2" s="4" t="s">
        <v>36</v>
      </c>
      <c r="G2" s="4" t="s">
        <v>34</v>
      </c>
      <c r="H2" s="4" t="s">
        <v>35</v>
      </c>
      <c r="I2" s="4" t="s">
        <v>36</v>
      </c>
      <c r="J2" s="4" t="s">
        <v>2</v>
      </c>
      <c r="K2" s="4" t="s">
        <v>53</v>
      </c>
    </row>
    <row r="3" spans="2:11" x14ac:dyDescent="0.35">
      <c r="B3" s="5" t="s">
        <v>3</v>
      </c>
      <c r="C3" s="6">
        <v>2000</v>
      </c>
      <c r="D3" s="7">
        <v>0.9</v>
      </c>
      <c r="E3" s="7">
        <v>1</v>
      </c>
      <c r="F3" s="8">
        <v>1.5</v>
      </c>
      <c r="G3" s="9">
        <f t="shared" ref="G3:I10" si="0">D3*$C3</f>
        <v>1800</v>
      </c>
      <c r="H3" s="9">
        <f t="shared" si="0"/>
        <v>2000</v>
      </c>
      <c r="I3" s="9">
        <f t="shared" si="0"/>
        <v>3000</v>
      </c>
      <c r="J3" s="10">
        <f ca="1">_xll.RiskLognormAlt(5%,G3,50%,H3,95%,I3,_xll.RiskName(B3),_xll.RiskTruncate(,K3))</f>
        <v>2116.6452897709987</v>
      </c>
      <c r="K3" s="9">
        <v>4000</v>
      </c>
    </row>
    <row r="4" spans="2:11" x14ac:dyDescent="0.35">
      <c r="B4" s="5" t="s">
        <v>4</v>
      </c>
      <c r="C4" s="11">
        <v>5000</v>
      </c>
      <c r="D4" s="12">
        <v>0.9</v>
      </c>
      <c r="E4" s="12">
        <v>1</v>
      </c>
      <c r="F4" s="13">
        <v>1.1499999999999999</v>
      </c>
      <c r="G4" s="9">
        <f t="shared" si="0"/>
        <v>4500</v>
      </c>
      <c r="H4" s="9">
        <f t="shared" si="0"/>
        <v>5000</v>
      </c>
      <c r="I4" s="9">
        <f t="shared" si="0"/>
        <v>5750</v>
      </c>
      <c r="J4" s="10">
        <f ca="1">_xll.RiskPertAlt(5%,G4,50%,H4,95%,I4,_xll.RiskName(B4))</f>
        <v>5045.9488270525871</v>
      </c>
      <c r="K4" s="4"/>
    </row>
    <row r="5" spans="2:11" x14ac:dyDescent="0.35">
      <c r="B5" s="5" t="s">
        <v>5</v>
      </c>
      <c r="C5" s="11">
        <v>4000</v>
      </c>
      <c r="D5" s="12">
        <v>0.9</v>
      </c>
      <c r="E5" s="12">
        <v>1</v>
      </c>
      <c r="F5" s="13">
        <v>1.2</v>
      </c>
      <c r="G5" s="9">
        <f t="shared" si="0"/>
        <v>3600</v>
      </c>
      <c r="H5" s="9">
        <f t="shared" si="0"/>
        <v>4000</v>
      </c>
      <c r="I5" s="9">
        <f t="shared" si="0"/>
        <v>4800</v>
      </c>
      <c r="J5" s="10">
        <f ca="1">_xll.RiskPertAlt(5%,G5,50%,H5,95%,I5,_xll.RiskName(B5))</f>
        <v>4073.5756663337575</v>
      </c>
      <c r="K5" s="4"/>
    </row>
    <row r="6" spans="2:11" x14ac:dyDescent="0.35">
      <c r="B6" s="5" t="s">
        <v>6</v>
      </c>
      <c r="C6" s="11">
        <v>2000</v>
      </c>
      <c r="D6" s="12">
        <v>0.9</v>
      </c>
      <c r="E6" s="12">
        <v>1</v>
      </c>
      <c r="F6" s="13">
        <v>1.1499999999999999</v>
      </c>
      <c r="G6" s="9">
        <f t="shared" si="0"/>
        <v>1800</v>
      </c>
      <c r="H6" s="9">
        <f t="shared" si="0"/>
        <v>2000</v>
      </c>
      <c r="I6" s="9">
        <f t="shared" si="0"/>
        <v>2300</v>
      </c>
      <c r="J6" s="10">
        <f ca="1">_xll.RiskPertAlt(5%,G6,50%,H6,95%,I6,_xll.RiskName(B6))</f>
        <v>2018.3795308209301</v>
      </c>
      <c r="K6" s="4"/>
    </row>
    <row r="7" spans="2:11" x14ac:dyDescent="0.35">
      <c r="B7" s="5" t="s">
        <v>7</v>
      </c>
      <c r="C7" s="11">
        <v>1000</v>
      </c>
      <c r="D7" s="12">
        <v>0.9</v>
      </c>
      <c r="E7" s="12">
        <v>1</v>
      </c>
      <c r="F7" s="13">
        <v>1.1499999999999999</v>
      </c>
      <c r="G7" s="4">
        <f t="shared" si="0"/>
        <v>900</v>
      </c>
      <c r="H7" s="9">
        <f t="shared" si="0"/>
        <v>1000</v>
      </c>
      <c r="I7" s="9">
        <f t="shared" si="0"/>
        <v>1150</v>
      </c>
      <c r="J7" s="10">
        <f ca="1">_xll.RiskPertAlt(5%,G7,50%,H7,95%,I7,_xll.RiskName(B7))</f>
        <v>1009.189765410465</v>
      </c>
      <c r="K7" s="4"/>
    </row>
    <row r="8" spans="2:11" x14ac:dyDescent="0.35">
      <c r="B8" s="5" t="s">
        <v>8</v>
      </c>
      <c r="C8" s="14">
        <v>500</v>
      </c>
      <c r="D8" s="12">
        <v>0.9</v>
      </c>
      <c r="E8" s="12">
        <v>1</v>
      </c>
      <c r="F8" s="13">
        <v>1.1499999999999999</v>
      </c>
      <c r="G8" s="4">
        <f t="shared" si="0"/>
        <v>450</v>
      </c>
      <c r="H8" s="4">
        <f t="shared" si="0"/>
        <v>500</v>
      </c>
      <c r="I8" s="4">
        <f t="shared" si="0"/>
        <v>575</v>
      </c>
      <c r="J8" s="10">
        <f ca="1">_xll.RiskPertAlt(5%,G8,50%,H8,95%,I8,_xll.RiskName(B8))</f>
        <v>504.59488270523252</v>
      </c>
      <c r="K8" s="4"/>
    </row>
    <row r="9" spans="2:11" x14ac:dyDescent="0.35">
      <c r="B9" s="5" t="s">
        <v>9</v>
      </c>
      <c r="C9" s="11">
        <v>1500</v>
      </c>
      <c r="D9" s="12">
        <v>0.9</v>
      </c>
      <c r="E9" s="12">
        <v>1</v>
      </c>
      <c r="F9" s="13">
        <v>1.1499999999999999</v>
      </c>
      <c r="G9" s="9">
        <f t="shared" si="0"/>
        <v>1350</v>
      </c>
      <c r="H9" s="9">
        <f t="shared" si="0"/>
        <v>1500</v>
      </c>
      <c r="I9" s="9">
        <f t="shared" si="0"/>
        <v>1724.9999999999998</v>
      </c>
      <c r="J9" s="10">
        <f ca="1">_xll.RiskPertAlt(5%,G9,50%,H9,95%,I9,_xll.RiskName(B9))</f>
        <v>1513.784648115726</v>
      </c>
      <c r="K9" s="4"/>
    </row>
    <row r="10" spans="2:11" x14ac:dyDescent="0.35">
      <c r="B10" s="5" t="s">
        <v>10</v>
      </c>
      <c r="C10" s="15">
        <v>2500</v>
      </c>
      <c r="D10" s="16">
        <v>0.9</v>
      </c>
      <c r="E10" s="16">
        <v>1</v>
      </c>
      <c r="F10" s="17">
        <v>1.1499999999999999</v>
      </c>
      <c r="G10" s="9">
        <f t="shared" si="0"/>
        <v>2250</v>
      </c>
      <c r="H10" s="9">
        <f t="shared" si="0"/>
        <v>2500</v>
      </c>
      <c r="I10" s="9">
        <f t="shared" si="0"/>
        <v>2875</v>
      </c>
      <c r="J10" s="10">
        <f ca="1">_xll.RiskPertAlt(5%,G10,50%,H10,95%,I10,_xll.RiskName(B10))</f>
        <v>2522.9744135262936</v>
      </c>
      <c r="K10" s="4"/>
    </row>
    <row r="11" spans="2:11" x14ac:dyDescent="0.35">
      <c r="B11" s="5"/>
      <c r="C11" s="4"/>
      <c r="D11" s="4"/>
      <c r="E11" s="4"/>
      <c r="F11" s="4"/>
      <c r="G11" s="4"/>
      <c r="H11" s="4"/>
      <c r="I11" s="4"/>
      <c r="J11" s="4"/>
      <c r="K11" s="4"/>
    </row>
    <row r="12" spans="2:11" x14ac:dyDescent="0.35">
      <c r="B12" s="3" t="s">
        <v>11</v>
      </c>
      <c r="C12" s="4"/>
      <c r="D12" s="4"/>
      <c r="E12" s="4"/>
      <c r="F12" s="4"/>
      <c r="G12" s="4"/>
      <c r="H12" s="4"/>
      <c r="I12" s="4"/>
      <c r="J12" s="4"/>
      <c r="K12" s="4"/>
    </row>
    <row r="13" spans="2:11" x14ac:dyDescent="0.35">
      <c r="B13" s="5" t="s">
        <v>12</v>
      </c>
      <c r="C13" s="9">
        <f>SUM(C3:C10)*1000</f>
        <v>18500000</v>
      </c>
      <c r="D13" s="4"/>
      <c r="E13" s="44" t="s">
        <v>44</v>
      </c>
      <c r="F13" s="4"/>
      <c r="G13" s="18"/>
      <c r="H13" s="4"/>
      <c r="I13" s="4"/>
      <c r="J13" s="19">
        <f ca="1">_xll.RiskOutput('Indirect Costs'!B19)+SUM(J3:J10)*1000</f>
        <v>18805093.023735993</v>
      </c>
      <c r="K13" s="4"/>
    </row>
    <row r="14" spans="2:11" x14ac:dyDescent="0.35">
      <c r="B14" s="5"/>
      <c r="C14" s="20"/>
      <c r="D14" s="4"/>
      <c r="E14" s="4"/>
      <c r="F14" s="4"/>
      <c r="G14" s="18"/>
      <c r="H14" s="4"/>
      <c r="I14" s="4"/>
      <c r="J14" s="4"/>
      <c r="K14" s="4"/>
    </row>
    <row r="15" spans="2:11" x14ac:dyDescent="0.35">
      <c r="B15" s="3" t="s">
        <v>13</v>
      </c>
      <c r="C15" s="4"/>
      <c r="D15" s="4"/>
      <c r="E15" s="4" t="str">
        <f ca="1">_xll.RiskResultsGraph(J13,E16:M39,,,_xll.RiskTarget(J13,C13)*100,95)</f>
        <v>@RISK graph</v>
      </c>
      <c r="F15" s="4"/>
      <c r="G15" s="18"/>
      <c r="H15" s="4"/>
      <c r="I15" s="4"/>
      <c r="J15" s="4"/>
      <c r="K15" s="4"/>
    </row>
    <row r="16" spans="2:11" x14ac:dyDescent="0.35">
      <c r="B16" s="5" t="s">
        <v>14</v>
      </c>
      <c r="C16" s="21">
        <f ca="1">_xll.RiskTarget(J13,C13)</f>
        <v>0.35868030630569969</v>
      </c>
      <c r="D16" s="9"/>
      <c r="E16" s="4"/>
      <c r="F16" s="4"/>
      <c r="G16" s="18"/>
      <c r="H16" s="4"/>
      <c r="I16" s="4"/>
      <c r="J16" s="4"/>
      <c r="K16" s="4"/>
    </row>
    <row r="17" spans="2:11" x14ac:dyDescent="0.35">
      <c r="B17" s="5" t="s">
        <v>56</v>
      </c>
      <c r="C17" s="22">
        <f ca="1">_xll.RiskPercentile(J13,0.95)</f>
        <v>20057345.119465608</v>
      </c>
      <c r="D17" s="23"/>
      <c r="E17" s="4"/>
      <c r="F17" s="4"/>
      <c r="G17" s="18"/>
      <c r="H17" s="4"/>
      <c r="I17" s="4"/>
      <c r="J17" s="4"/>
      <c r="K17" s="4"/>
    </row>
    <row r="18" spans="2:11" x14ac:dyDescent="0.35">
      <c r="B18" s="5" t="s">
        <v>57</v>
      </c>
      <c r="C18" s="9">
        <f ca="1">C17-C13</f>
        <v>1557345.1194656081</v>
      </c>
      <c r="D18" s="4"/>
      <c r="E18" s="4"/>
      <c r="F18" s="4"/>
      <c r="G18" s="18"/>
      <c r="H18" s="4"/>
      <c r="I18" s="4"/>
      <c r="J18" s="4"/>
      <c r="K18" s="4"/>
    </row>
    <row r="19" spans="2:11" x14ac:dyDescent="0.35">
      <c r="B19" s="5"/>
      <c r="C19" s="4"/>
      <c r="D19" s="4"/>
      <c r="E19" s="4"/>
      <c r="F19" s="4"/>
      <c r="G19" s="18"/>
      <c r="H19" s="4"/>
      <c r="I19" s="4"/>
      <c r="J19" s="4"/>
      <c r="K19" s="4"/>
    </row>
    <row r="20" spans="2:11" x14ac:dyDescent="0.35">
      <c r="B20" s="5"/>
      <c r="C20" s="4"/>
      <c r="D20" s="4"/>
      <c r="E20" s="4"/>
      <c r="F20" s="4"/>
      <c r="G20" s="18"/>
      <c r="H20" s="4"/>
      <c r="I20" s="4"/>
      <c r="J20" s="4"/>
      <c r="K20" s="4"/>
    </row>
    <row r="21" spans="2:11" x14ac:dyDescent="0.35">
      <c r="B21" s="5"/>
      <c r="C21" s="4"/>
      <c r="D21" s="4"/>
      <c r="E21" s="4"/>
      <c r="F21" s="4"/>
      <c r="G21" s="18"/>
      <c r="H21" s="4"/>
      <c r="I21" s="4"/>
      <c r="J21" s="4"/>
      <c r="K21" s="4"/>
    </row>
    <row r="22" spans="2:11" x14ac:dyDescent="0.35">
      <c r="B22" s="5"/>
      <c r="C22" s="4"/>
      <c r="D22" s="4"/>
      <c r="E22" s="4"/>
      <c r="F22" s="4"/>
      <c r="G22" s="18"/>
      <c r="H22" s="4"/>
      <c r="I22" s="4"/>
      <c r="J22" s="4"/>
      <c r="K22" s="4"/>
    </row>
    <row r="23" spans="2:11" x14ac:dyDescent="0.35">
      <c r="B23" s="5"/>
      <c r="C23" s="4"/>
      <c r="D23" s="4"/>
      <c r="E23" s="4"/>
      <c r="F23" s="4"/>
      <c r="G23" s="18"/>
      <c r="H23" s="4"/>
      <c r="I23" s="4"/>
      <c r="J23" s="4"/>
      <c r="K23" s="4"/>
    </row>
    <row r="24" spans="2:11" x14ac:dyDescent="0.35">
      <c r="B24" s="5"/>
      <c r="C24" s="4"/>
      <c r="D24" s="4"/>
      <c r="E24" s="4"/>
      <c r="F24" s="4"/>
      <c r="G24" s="18"/>
      <c r="H24" s="4"/>
      <c r="I24" s="4"/>
      <c r="J24" s="4"/>
      <c r="K24" s="4"/>
    </row>
    <row r="25" spans="2:11" x14ac:dyDescent="0.35">
      <c r="B25" s="5"/>
      <c r="C25" s="4"/>
      <c r="D25" s="4"/>
      <c r="E25" s="4"/>
      <c r="F25" s="4"/>
      <c r="G25" s="18"/>
      <c r="H25" s="4"/>
      <c r="I25" s="4"/>
      <c r="J25" s="4"/>
      <c r="K25" s="4"/>
    </row>
    <row r="26" spans="2:11" x14ac:dyDescent="0.35">
      <c r="B26" s="5"/>
      <c r="C26" s="4"/>
      <c r="D26" s="4"/>
      <c r="E26" s="4"/>
      <c r="F26" s="4"/>
      <c r="G26" s="18"/>
      <c r="H26" s="4"/>
      <c r="I26" s="4"/>
      <c r="J26" s="4"/>
      <c r="K26" s="4"/>
    </row>
    <row r="27" spans="2:11" x14ac:dyDescent="0.35">
      <c r="B27" s="5"/>
      <c r="C27" s="4"/>
      <c r="D27" s="4"/>
      <c r="E27" s="4"/>
      <c r="F27" s="4"/>
      <c r="G27" s="18"/>
      <c r="H27" s="4"/>
      <c r="I27" s="4"/>
      <c r="J27" s="4"/>
      <c r="K27" s="4"/>
    </row>
    <row r="28" spans="2:11" x14ac:dyDescent="0.35">
      <c r="B28" s="5"/>
      <c r="C28" s="4"/>
      <c r="D28" s="4"/>
      <c r="E28" s="4"/>
      <c r="F28" s="4"/>
      <c r="G28" s="18"/>
      <c r="H28" s="4"/>
      <c r="I28" s="4"/>
      <c r="J28" s="4"/>
      <c r="K28" s="4"/>
    </row>
    <row r="29" spans="2:11" x14ac:dyDescent="0.35">
      <c r="B29" s="5"/>
      <c r="C29" s="4"/>
      <c r="D29" s="4"/>
      <c r="E29" s="4"/>
      <c r="F29" s="4"/>
      <c r="G29" s="18"/>
      <c r="H29" s="4"/>
      <c r="I29" s="4"/>
      <c r="J29" s="4"/>
      <c r="K29" s="4"/>
    </row>
    <row r="30" spans="2:11" x14ac:dyDescent="0.35">
      <c r="B30" s="5"/>
      <c r="C30" s="4"/>
      <c r="D30" s="4"/>
      <c r="E30" s="4"/>
      <c r="F30" s="4"/>
      <c r="G30" s="18"/>
      <c r="H30" s="4"/>
      <c r="I30" s="4"/>
      <c r="J30" s="4"/>
      <c r="K30" s="4"/>
    </row>
    <row r="31" spans="2:11" x14ac:dyDescent="0.35">
      <c r="B31" s="5"/>
      <c r="C31" s="4"/>
      <c r="D31" s="4"/>
      <c r="E31" s="4"/>
      <c r="F31" s="4"/>
      <c r="G31" s="18"/>
      <c r="H31" s="4"/>
      <c r="I31" s="4"/>
      <c r="J31" s="4"/>
      <c r="K31" s="4"/>
    </row>
    <row r="32" spans="2:11" x14ac:dyDescent="0.35">
      <c r="B32" s="5"/>
      <c r="C32" s="4"/>
      <c r="D32" s="4"/>
      <c r="E32" s="4"/>
      <c r="F32" s="4"/>
      <c r="G32" s="18"/>
      <c r="H32" s="4"/>
      <c r="I32" s="4"/>
      <c r="J32" s="4"/>
      <c r="K32" s="4"/>
    </row>
    <row r="33" spans="2:11" x14ac:dyDescent="0.35">
      <c r="B33" s="5"/>
      <c r="C33" s="4"/>
      <c r="D33" s="4"/>
      <c r="E33" s="4"/>
      <c r="F33" s="4"/>
      <c r="G33" s="18"/>
      <c r="H33" s="4"/>
      <c r="I33" s="4"/>
      <c r="J33" s="4"/>
      <c r="K33" s="4"/>
    </row>
    <row r="34" spans="2:11" x14ac:dyDescent="0.35">
      <c r="B34" s="5"/>
      <c r="C34" s="4"/>
      <c r="D34" s="4"/>
      <c r="E34" s="4"/>
      <c r="F34" s="4"/>
      <c r="G34" s="18"/>
      <c r="H34" s="4"/>
      <c r="I34" s="4"/>
      <c r="J34" s="4"/>
      <c r="K34" s="4"/>
    </row>
    <row r="35" spans="2:11" x14ac:dyDescent="0.35">
      <c r="B35" s="5"/>
      <c r="C35" s="4"/>
      <c r="D35" s="4"/>
      <c r="E35" s="4"/>
      <c r="F35" s="4"/>
      <c r="G35" s="18"/>
      <c r="H35" s="4"/>
      <c r="I35" s="4"/>
      <c r="J35" s="4"/>
      <c r="K35" s="4"/>
    </row>
    <row r="36" spans="2:11" x14ac:dyDescent="0.35">
      <c r="B36" s="5"/>
      <c r="C36" s="4"/>
      <c r="D36" s="4"/>
      <c r="E36" s="4"/>
      <c r="F36" s="4"/>
      <c r="G36" s="18"/>
      <c r="H36" s="4"/>
      <c r="I36" s="4"/>
      <c r="J36" s="4"/>
      <c r="K36" s="4"/>
    </row>
    <row r="37" spans="2:11" x14ac:dyDescent="0.35">
      <c r="B37" s="5"/>
      <c r="C37" s="4"/>
      <c r="D37" s="4"/>
      <c r="E37" s="4"/>
      <c r="F37" s="4"/>
      <c r="G37" s="18"/>
      <c r="H37" s="4"/>
      <c r="I37" s="4"/>
      <c r="J37" s="4"/>
      <c r="K37" s="4"/>
    </row>
    <row r="38" spans="2:11" x14ac:dyDescent="0.35">
      <c r="B38" s="5"/>
      <c r="C38" s="4"/>
      <c r="D38" s="4"/>
      <c r="E38" s="4"/>
      <c r="F38" s="4"/>
      <c r="G38" s="18"/>
      <c r="H38" s="4"/>
      <c r="I38" s="4"/>
      <c r="J38" s="4"/>
      <c r="K38" s="4"/>
    </row>
    <row r="39" spans="2:11" x14ac:dyDescent="0.35">
      <c r="B39" s="5"/>
      <c r="C39" s="4"/>
      <c r="D39" s="4"/>
      <c r="E39" s="4"/>
      <c r="F39" s="4"/>
      <c r="G39" s="18"/>
      <c r="H39" s="4"/>
      <c r="I39" s="4"/>
      <c r="J39" s="4"/>
      <c r="K39" s="4"/>
    </row>
    <row r="40" spans="2:11" x14ac:dyDescent="0.35">
      <c r="B40" s="5"/>
      <c r="C40" s="4"/>
      <c r="D40" s="4"/>
      <c r="E40" s="4"/>
      <c r="F40" s="4"/>
      <c r="G40" s="18"/>
      <c r="H40" s="4"/>
      <c r="I40" s="4"/>
      <c r="J40" s="4"/>
      <c r="K40" s="4"/>
    </row>
    <row r="41" spans="2:11" x14ac:dyDescent="0.35">
      <c r="B41" s="5"/>
      <c r="C41" s="4"/>
      <c r="D41" s="4"/>
      <c r="E41" s="4"/>
      <c r="F41" s="4"/>
      <c r="G41" s="18"/>
      <c r="H41" s="4"/>
      <c r="I41" s="4"/>
      <c r="J41" s="4"/>
      <c r="K41" s="4"/>
    </row>
    <row r="42" spans="2:11" x14ac:dyDescent="0.35">
      <c r="B42" s="5"/>
      <c r="C42" s="4"/>
      <c r="D42" s="4"/>
      <c r="E42" s="4"/>
      <c r="F42" s="4"/>
      <c r="G42" s="18"/>
      <c r="H42" s="4"/>
      <c r="I42" s="4"/>
      <c r="J42" s="4"/>
      <c r="K42" s="4"/>
    </row>
    <row r="43" spans="2:11" x14ac:dyDescent="0.35">
      <c r="B43" s="5"/>
      <c r="C43" s="4"/>
      <c r="D43" s="4"/>
      <c r="E43" s="4"/>
      <c r="F43" s="4"/>
      <c r="G43" s="18"/>
      <c r="H43" s="4"/>
      <c r="I43" s="4"/>
      <c r="J43" s="4"/>
      <c r="K43" s="4"/>
    </row>
    <row r="44" spans="2:11" x14ac:dyDescent="0.35">
      <c r="B44" s="5"/>
      <c r="C44" s="4"/>
      <c r="D44" s="4"/>
      <c r="E44" s="4"/>
      <c r="F44" s="4"/>
      <c r="G44" s="18"/>
      <c r="H44" s="4"/>
      <c r="I44" s="4"/>
      <c r="J44" s="4"/>
      <c r="K44" s="4"/>
    </row>
    <row r="45" spans="2:11" x14ac:dyDescent="0.35">
      <c r="B45" s="5"/>
      <c r="C45" s="4"/>
      <c r="D45" s="4"/>
      <c r="E45" s="4"/>
      <c r="F45" s="4"/>
      <c r="G45" s="18"/>
      <c r="H45" s="4"/>
      <c r="I45" s="4"/>
      <c r="J45" s="4"/>
      <c r="K45" s="4"/>
    </row>
    <row r="46" spans="2:11" x14ac:dyDescent="0.35">
      <c r="B46" s="5"/>
      <c r="C46" s="4"/>
      <c r="D46" s="4"/>
      <c r="E46" s="4"/>
      <c r="F46" s="4"/>
      <c r="G46" s="18"/>
      <c r="H46" s="4"/>
      <c r="I46" s="4"/>
      <c r="J46" s="4"/>
      <c r="K46" s="4"/>
    </row>
    <row r="47" spans="2:11" x14ac:dyDescent="0.35">
      <c r="B47" s="5"/>
      <c r="C47" s="4"/>
      <c r="D47" s="4"/>
      <c r="E47" s="4"/>
      <c r="F47" s="4"/>
      <c r="G47" s="18"/>
      <c r="H47" s="4"/>
      <c r="I47" s="4"/>
      <c r="J47" s="4"/>
      <c r="K47" s="4"/>
    </row>
    <row r="48" spans="2:11" x14ac:dyDescent="0.35">
      <c r="B48" s="5"/>
      <c r="C48" s="4"/>
      <c r="D48" s="4"/>
      <c r="E48" s="4"/>
      <c r="F48" s="4"/>
      <c r="G48" s="18"/>
      <c r="H48" s="4"/>
      <c r="I48" s="4"/>
      <c r="J48" s="4"/>
      <c r="K48" s="4"/>
    </row>
    <row r="49" spans="2:11" x14ac:dyDescent="0.35">
      <c r="B49" s="5"/>
      <c r="C49" s="4"/>
      <c r="D49" s="4"/>
      <c r="E49" s="4"/>
      <c r="F49" s="4"/>
      <c r="G49" s="18"/>
      <c r="H49" s="4"/>
      <c r="I49" s="4"/>
      <c r="J49" s="4"/>
      <c r="K49" s="4"/>
    </row>
    <row r="50" spans="2:11" x14ac:dyDescent="0.35">
      <c r="B50" s="5"/>
      <c r="C50" s="4"/>
      <c r="D50" s="4"/>
      <c r="E50" s="4"/>
      <c r="F50" s="4"/>
      <c r="G50" s="18"/>
      <c r="H50" s="4"/>
      <c r="I50" s="4"/>
      <c r="J50" s="4"/>
      <c r="K50" s="4"/>
    </row>
    <row r="51" spans="2:11" x14ac:dyDescent="0.35">
      <c r="B51" s="5"/>
      <c r="C51" s="4"/>
      <c r="D51" s="4"/>
      <c r="E51" s="4"/>
      <c r="F51" s="4"/>
      <c r="G51" s="18"/>
      <c r="H51" s="4"/>
      <c r="I51" s="4"/>
      <c r="J51" s="4"/>
      <c r="K51" s="4"/>
    </row>
    <row r="52" spans="2:11" x14ac:dyDescent="0.35">
      <c r="B52" s="5"/>
      <c r="C52" s="4"/>
      <c r="D52" s="4"/>
      <c r="E52" s="4"/>
      <c r="F52" s="4"/>
      <c r="G52" s="18"/>
      <c r="H52" s="4"/>
      <c r="I52" s="4"/>
      <c r="J52" s="4"/>
      <c r="K52" s="4"/>
    </row>
    <row r="53" spans="2:11" x14ac:dyDescent="0.35">
      <c r="B53" s="5"/>
      <c r="C53" s="4"/>
      <c r="D53" s="4"/>
      <c r="E53" s="4"/>
      <c r="F53" s="4"/>
      <c r="G53" s="18"/>
      <c r="H53" s="4"/>
      <c r="I53" s="4"/>
      <c r="J53" s="4"/>
      <c r="K53" s="4"/>
    </row>
    <row r="54" spans="2:11" x14ac:dyDescent="0.35">
      <c r="B54" s="5"/>
      <c r="C54" s="4"/>
      <c r="D54" s="4"/>
      <c r="E54" s="4"/>
      <c r="F54" s="4"/>
      <c r="G54" s="18"/>
      <c r="H54" s="4"/>
      <c r="I54" s="4"/>
      <c r="J54" s="4"/>
      <c r="K54" s="4"/>
    </row>
    <row r="55" spans="2:11" x14ac:dyDescent="0.35">
      <c r="B55" s="5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35">
      <c r="B56" s="5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35">
      <c r="B57" s="5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35">
      <c r="B58" s="5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35">
      <c r="B59" s="5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35">
      <c r="B60" s="5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5">
      <c r="B61" s="5"/>
      <c r="C61" s="4"/>
      <c r="D61" s="4"/>
      <c r="E61" s="4"/>
      <c r="F61" s="4"/>
      <c r="G61" s="4"/>
      <c r="H61" s="4"/>
      <c r="I61" s="4"/>
      <c r="J61" s="4"/>
      <c r="K61" s="4"/>
    </row>
    <row r="62" spans="2:11" x14ac:dyDescent="0.35">
      <c r="B62" s="5"/>
      <c r="C62" s="4"/>
      <c r="D62" s="4"/>
      <c r="E62" s="4"/>
      <c r="F62" s="4"/>
      <c r="G62" s="4"/>
      <c r="H62" s="4"/>
      <c r="I62" s="4"/>
      <c r="J62" s="4"/>
      <c r="K62" s="4"/>
    </row>
  </sheetData>
  <conditionalFormatting sqref="J13">
    <cfRule type="expression" dxfId="11" priority="59" stopIfTrue="1">
      <formula>RiskIsOutput</formula>
    </cfRule>
  </conditionalFormatting>
  <conditionalFormatting sqref="J3:J10">
    <cfRule type="expression" dxfId="10" priority="60" stopIfTrue="1">
      <formula>RiskIsInput</formula>
    </cfRule>
  </conditionalFormatting>
  <conditionalFormatting sqref="E15 C16:C17">
    <cfRule type="expression" dxfId="9" priority="61" stopIfTrue="1">
      <formula>RiskIsStatistics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4.5" x14ac:dyDescent="0.35"/>
  <sheetData>
    <row r="1" spans="1:6" x14ac:dyDescent="0.35">
      <c r="A1">
        <v>0</v>
      </c>
      <c r="B1">
        <v>0</v>
      </c>
    </row>
    <row r="2" spans="1:6" x14ac:dyDescent="0.35">
      <c r="A2">
        <v>0</v>
      </c>
    </row>
    <row r="3" spans="1:6" x14ac:dyDescent="0.35">
      <c r="A3">
        <v>0</v>
      </c>
    </row>
    <row r="4" spans="1:6" x14ac:dyDescent="0.35">
      <c r="A4" t="b">
        <v>0</v>
      </c>
      <c r="B4">
        <v>15680</v>
      </c>
      <c r="C4">
        <v>7345</v>
      </c>
      <c r="D4">
        <v>3520</v>
      </c>
      <c r="E4">
        <v>0</v>
      </c>
    </row>
    <row r="5" spans="1:6" x14ac:dyDescent="0.35">
      <c r="A5" t="b">
        <v>0</v>
      </c>
      <c r="B5">
        <v>15680</v>
      </c>
      <c r="C5">
        <v>7345</v>
      </c>
      <c r="D5">
        <v>3520</v>
      </c>
      <c r="E5">
        <v>0</v>
      </c>
    </row>
    <row r="6" spans="1:6" x14ac:dyDescent="0.35">
      <c r="A6" t="b">
        <v>0</v>
      </c>
      <c r="B6">
        <v>15680</v>
      </c>
      <c r="C6">
        <v>7345</v>
      </c>
      <c r="D6">
        <v>3520</v>
      </c>
      <c r="E6">
        <v>0</v>
      </c>
    </row>
    <row r="7" spans="1:6" x14ac:dyDescent="0.35">
      <c r="A7" t="b">
        <v>0</v>
      </c>
      <c r="B7">
        <v>15680</v>
      </c>
      <c r="C7">
        <v>7345</v>
      </c>
      <c r="D7">
        <v>3520</v>
      </c>
      <c r="E7">
        <v>0</v>
      </c>
    </row>
    <row r="8" spans="1:6" x14ac:dyDescent="0.35">
      <c r="A8" t="b">
        <v>0</v>
      </c>
      <c r="B8">
        <v>15680</v>
      </c>
      <c r="C8">
        <v>7345</v>
      </c>
      <c r="D8">
        <v>3520</v>
      </c>
      <c r="E8">
        <v>0</v>
      </c>
    </row>
    <row r="9" spans="1:6" x14ac:dyDescent="0.35">
      <c r="A9">
        <v>0</v>
      </c>
    </row>
    <row r="10" spans="1:6" x14ac:dyDescent="0.35">
      <c r="A10">
        <v>0</v>
      </c>
      <c r="B10" t="b">
        <v>0</v>
      </c>
      <c r="C10" t="b">
        <v>0</v>
      </c>
      <c r="D10">
        <v>0</v>
      </c>
      <c r="E10">
        <v>0</v>
      </c>
      <c r="F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zoomScale="107" zoomScaleNormal="130" workbookViewId="0">
      <selection activeCell="E18" sqref="E18:N44"/>
    </sheetView>
  </sheetViews>
  <sheetFormatPr defaultRowHeight="14.5" x14ac:dyDescent="0.35"/>
  <cols>
    <col min="1" max="1" width="1.58203125" customWidth="1"/>
    <col min="2" max="2" width="34.25" customWidth="1"/>
    <col min="3" max="3" width="17.25" customWidth="1"/>
    <col min="4" max="4" width="10.5" customWidth="1"/>
    <col min="5" max="5" width="11.6640625" customWidth="1"/>
    <col min="6" max="6" width="15.9140625" customWidth="1"/>
    <col min="7" max="7" width="13.25" customWidth="1"/>
    <col min="8" max="8" width="11.9140625" customWidth="1"/>
    <col min="9" max="9" width="10.9140625" customWidth="1"/>
    <col min="10" max="10" width="12.9140625" customWidth="1"/>
    <col min="11" max="11" width="12.33203125" customWidth="1"/>
    <col min="12" max="12" width="13.25" customWidth="1"/>
    <col min="13" max="13" width="10.75" bestFit="1" customWidth="1"/>
    <col min="14" max="14" width="14.6640625" customWidth="1"/>
  </cols>
  <sheetData>
    <row r="1" spans="2:15" ht="5.15" customHeight="1" x14ac:dyDescent="0.35"/>
    <row r="2" spans="2:15" s="25" customFormat="1" ht="15" customHeight="1" x14ac:dyDescent="0.35">
      <c r="B2" s="24" t="s">
        <v>15</v>
      </c>
    </row>
    <row r="3" spans="2:15" ht="31.5" customHeight="1" x14ac:dyDescent="0.35">
      <c r="B3" s="39" t="s">
        <v>16</v>
      </c>
      <c r="C3" s="38" t="s">
        <v>42</v>
      </c>
      <c r="D3" s="38" t="s">
        <v>38</v>
      </c>
      <c r="E3" s="38" t="s">
        <v>37</v>
      </c>
      <c r="F3" s="38" t="s">
        <v>45</v>
      </c>
      <c r="G3" s="58"/>
      <c r="H3" s="41" t="s">
        <v>58</v>
      </c>
      <c r="I3" s="41" t="s">
        <v>39</v>
      </c>
      <c r="J3" s="41" t="s">
        <v>40</v>
      </c>
      <c r="K3" s="41" t="s">
        <v>41</v>
      </c>
      <c r="L3" s="41" t="s">
        <v>59</v>
      </c>
      <c r="M3" s="46">
        <v>0.99999000000000005</v>
      </c>
      <c r="N3" s="41" t="s">
        <v>46</v>
      </c>
      <c r="O3" s="59" t="s">
        <v>54</v>
      </c>
    </row>
    <row r="4" spans="2:15" x14ac:dyDescent="0.35">
      <c r="B4" t="s">
        <v>17</v>
      </c>
      <c r="C4" s="35">
        <v>0.1</v>
      </c>
      <c r="D4" s="27">
        <f ca="1">_xll.RiskBernoulli(C4)</f>
        <v>0</v>
      </c>
      <c r="E4" s="28">
        <f ca="1">_xll.RiskLognormAlt(5%,I4,50%,J4,95%,K4,_xll.RiskTruncate(,L4))</f>
        <v>553236.56737343664</v>
      </c>
      <c r="F4" s="28">
        <f ca="1">_xll.RiskCompound(D4,E4,,L4,_xll.RiskName(B4))</f>
        <v>55046.883061151086</v>
      </c>
      <c r="G4" s="57"/>
      <c r="H4" s="75"/>
      <c r="I4" s="42">
        <v>490000</v>
      </c>
      <c r="J4" s="42">
        <v>500000</v>
      </c>
      <c r="K4" s="42">
        <v>800000</v>
      </c>
      <c r="L4" s="42">
        <v>3000000</v>
      </c>
      <c r="M4" s="45">
        <f ca="1">_xll.RiskTheoPercentile(E4,M$3)</f>
        <v>2995600.7608918822</v>
      </c>
      <c r="N4" s="42">
        <f ca="1">_xll.RiskTheoMin(E4)</f>
        <v>489655.1724137931</v>
      </c>
      <c r="O4" s="57">
        <f ca="1">_xll.RiskMax(F4)</f>
        <v>2932730.2481371798</v>
      </c>
    </row>
    <row r="5" spans="2:15" x14ac:dyDescent="0.35">
      <c r="B5" t="s">
        <v>18</v>
      </c>
      <c r="C5" s="35">
        <v>0.05</v>
      </c>
      <c r="D5" s="27">
        <f ca="1">_xll.RiskBernoulli(C5)</f>
        <v>0</v>
      </c>
      <c r="E5" s="28">
        <f ca="1">_xll.RiskLognormAlt(5%,I5,50%,J5,95%,K5)</f>
        <v>53748.266873497341</v>
      </c>
      <c r="F5" s="28">
        <f ca="1">_xll.RiskCompound(D5,E5,_xll.RiskName(B5))</f>
        <v>2685.9174939208301</v>
      </c>
      <c r="G5" s="57"/>
      <c r="H5" s="75"/>
      <c r="I5" s="42">
        <v>40000</v>
      </c>
      <c r="J5" s="42">
        <v>50000</v>
      </c>
      <c r="K5" s="42">
        <v>80000</v>
      </c>
      <c r="L5" s="42"/>
      <c r="M5" s="45">
        <f ca="1">_xll.RiskTheoPercentile(E5,M$3)</f>
        <v>293943.1376381364</v>
      </c>
      <c r="N5" s="42">
        <f ca="1">_xll.RiskTheoMin(E5)</f>
        <v>35000</v>
      </c>
      <c r="O5" s="57">
        <f ca="1">_xll.RiskMax(F5)</f>
        <v>167745.92512934806</v>
      </c>
    </row>
    <row r="6" spans="2:15" x14ac:dyDescent="0.35">
      <c r="B6" t="s">
        <v>19</v>
      </c>
      <c r="C6" s="35">
        <v>0.05</v>
      </c>
      <c r="D6" s="27">
        <f ca="1">_xll.RiskBernoulli(C6)</f>
        <v>0</v>
      </c>
      <c r="E6" s="28">
        <f ca="1">_xll.RiskLognormAlt(5%,I6,50%,J6,95%,K6)</f>
        <v>137482.66873497356</v>
      </c>
      <c r="F6" s="28">
        <f ca="1">_xll.RiskCompound(D6,E6,_xll.RiskName(B6))</f>
        <v>6859.174939208332</v>
      </c>
      <c r="G6" s="57"/>
      <c r="H6" s="75"/>
      <c r="I6" s="42">
        <v>0</v>
      </c>
      <c r="J6" s="42">
        <v>100000</v>
      </c>
      <c r="K6" s="42">
        <v>400000</v>
      </c>
      <c r="L6" s="42"/>
      <c r="M6" s="45">
        <f ca="1">_xll.RiskTheoPercentile(E6,M$3)</f>
        <v>2539431.3763813577</v>
      </c>
      <c r="N6" s="42">
        <f ca="1">_xll.RiskTheoMin(E6)</f>
        <v>-49999.999999999942</v>
      </c>
      <c r="O6" s="57">
        <f ca="1">_xll.RiskMax(F6)</f>
        <v>1437809.9015199572</v>
      </c>
    </row>
    <row r="7" spans="2:15" x14ac:dyDescent="0.35">
      <c r="B7" t="s">
        <v>20</v>
      </c>
      <c r="C7" s="35">
        <v>0.08</v>
      </c>
      <c r="D7" s="27">
        <f ca="1">_xll.RiskBernoulli(C7)</f>
        <v>0</v>
      </c>
      <c r="E7" s="28">
        <f ca="1">_xll.RiskLognormAlt(5%,I7,50%,J7,95%,K7)</f>
        <v>259370.66718374341</v>
      </c>
      <c r="F7" s="28">
        <f ca="1">_xll.RiskCompound(D7,E7,_xll.RiskName(B7))</f>
        <v>20718.465694336624</v>
      </c>
      <c r="G7" s="57"/>
      <c r="H7" s="75"/>
      <c r="I7" s="42">
        <v>225000</v>
      </c>
      <c r="J7" s="42">
        <v>250000</v>
      </c>
      <c r="K7" s="42">
        <v>325000</v>
      </c>
      <c r="L7" s="42"/>
      <c r="M7" s="45">
        <f ca="1">_xll.RiskTheoPercentile(E7,M$3)</f>
        <v>859857.84409534046</v>
      </c>
      <c r="N7" s="42">
        <f ca="1">_xll.RiskTheoMin(E7)</f>
        <v>212500.00000000009</v>
      </c>
      <c r="O7" s="57">
        <f ca="1">_xll.RiskMax(F7)</f>
        <v>614475.07001261145</v>
      </c>
    </row>
    <row r="8" spans="2:15" x14ac:dyDescent="0.35">
      <c r="B8" t="s">
        <v>21</v>
      </c>
      <c r="C8" s="37">
        <v>1</v>
      </c>
      <c r="D8" s="27">
        <f ca="1">_xll.RiskPoisson(C8)</f>
        <v>1</v>
      </c>
      <c r="E8" s="28">
        <f ca="1">_xll.RiskLognormAlt(5%,I8,50%,J8,95%,K8)</f>
        <v>437482.66873497341</v>
      </c>
      <c r="F8" s="28">
        <f ca="1">_xll.RiskCompound(D8,E8,_xll.RiskName(B8))</f>
        <v>436436.33294238715</v>
      </c>
      <c r="G8" s="57"/>
      <c r="H8" s="75"/>
      <c r="I8" s="42">
        <v>300000</v>
      </c>
      <c r="J8" s="42">
        <v>400000</v>
      </c>
      <c r="K8" s="42">
        <v>700000</v>
      </c>
      <c r="L8" s="42"/>
      <c r="M8" s="45">
        <f ca="1">_xll.RiskTheoPercentile(E8,M$3)</f>
        <v>2839431.3763813619</v>
      </c>
      <c r="N8" s="42">
        <f ca="1">_xll.RiskTheoMin(E8)</f>
        <v>250000.00000000006</v>
      </c>
      <c r="O8" s="57">
        <f ca="1">_xll.RiskMax(F8)</f>
        <v>3808328.7995702229</v>
      </c>
    </row>
    <row r="9" spans="2:15" x14ac:dyDescent="0.35">
      <c r="B9" t="s">
        <v>22</v>
      </c>
      <c r="C9" s="35">
        <v>0.15</v>
      </c>
      <c r="D9" s="27">
        <f ca="1">_xll.RiskBernoulli(C9)</f>
        <v>0</v>
      </c>
      <c r="E9" s="28">
        <f ca="1">_xll.RiskLognormAlt(5%,I9,50%,J9,95%,K9,_xll.RiskTruncate(H9,))</f>
        <v>431585.62534139678</v>
      </c>
      <c r="F9" s="28">
        <f ca="1">_xll.RiskCompound(D9,E9,_xll.RiskName(B9))</f>
        <v>64467.125237904911</v>
      </c>
      <c r="G9" s="57"/>
      <c r="H9" s="75">
        <v>25000</v>
      </c>
      <c r="I9" s="42">
        <v>50000</v>
      </c>
      <c r="J9" s="42">
        <v>300000</v>
      </c>
      <c r="K9" s="42">
        <v>1200000</v>
      </c>
      <c r="L9" s="42"/>
      <c r="M9" s="45">
        <f ca="1">_xll.RiskTheoPercentile(E9,M$3)</f>
        <v>9576584.4736259822</v>
      </c>
      <c r="N9" s="42">
        <f ca="1">_xll.RiskTheoMin(E9)</f>
        <v>25000</v>
      </c>
      <c r="O9" s="57">
        <f ca="1">_xll.RiskMax(F9)</f>
        <v>9633826.8108551428</v>
      </c>
    </row>
    <row r="10" spans="2:15" x14ac:dyDescent="0.35">
      <c r="B10" t="s">
        <v>23</v>
      </c>
      <c r="C10" s="35">
        <v>0.35</v>
      </c>
      <c r="D10" s="27">
        <f ca="1">_xll.RiskBernoulli(C10)</f>
        <v>0</v>
      </c>
      <c r="E10" s="28">
        <f ca="1">_xll.RiskLognormAlt(5%,I10,50%,J10,95%,K10)</f>
        <v>103748.26687349734</v>
      </c>
      <c r="F10" s="28">
        <f ca="1">_xll.RiskCompound(D10,E10,_xll.RiskName(B10))</f>
        <v>36303.237619326799</v>
      </c>
      <c r="G10" s="57"/>
      <c r="H10" s="75"/>
      <c r="I10" s="42">
        <v>90000</v>
      </c>
      <c r="J10" s="42">
        <v>100000</v>
      </c>
      <c r="K10" s="42">
        <v>130000</v>
      </c>
      <c r="L10" s="42"/>
      <c r="M10" s="45">
        <f ca="1">_xll.RiskTheoPercentile(E10,M$3)</f>
        <v>343943.13763813593</v>
      </c>
      <c r="N10" s="42">
        <f ca="1">_xll.RiskTheoMin(E10)</f>
        <v>85000</v>
      </c>
      <c r="O10" s="57">
        <f ca="1">_xll.RiskMax(F10)</f>
        <v>270255.89818137616</v>
      </c>
    </row>
    <row r="11" spans="2:15" x14ac:dyDescent="0.35">
      <c r="B11" t="s">
        <v>24</v>
      </c>
      <c r="C11" s="35">
        <v>0.02</v>
      </c>
      <c r="D11" s="27">
        <f ca="1">_xll.RiskBernoulli(C11)</f>
        <v>0</v>
      </c>
      <c r="E11" s="28">
        <f ca="1">_xll.RiskLognormAlt(5%,I11,50%,J11,95%,K11,_xll.RiskTruncate(H11,))</f>
        <v>327613.27011601068</v>
      </c>
      <c r="F11" s="28">
        <f ca="1">_xll.RiskCompound(D11,E11,_xll.RiskName(B11))</f>
        <v>0</v>
      </c>
      <c r="G11" s="57"/>
      <c r="H11" s="75">
        <v>10000</v>
      </c>
      <c r="I11" s="42">
        <v>50000</v>
      </c>
      <c r="J11" s="42">
        <v>250000</v>
      </c>
      <c r="K11" s="42">
        <v>850000</v>
      </c>
      <c r="L11" s="42"/>
      <c r="M11" s="45">
        <f ca="1">_xll.RiskTheoPercentile(E11,M$3)</f>
        <v>5135055.8509479677</v>
      </c>
      <c r="N11" s="42">
        <f ca="1">_xll.RiskTheoMin(E11)</f>
        <v>10000</v>
      </c>
      <c r="O11" s="57">
        <f ca="1">_xll.RiskMax(F11)</f>
        <v>3515497.9475351619</v>
      </c>
    </row>
    <row r="12" spans="2:15" x14ac:dyDescent="0.35">
      <c r="B12" t="s">
        <v>25</v>
      </c>
      <c r="C12" s="37">
        <v>0.2</v>
      </c>
      <c r="D12" s="27">
        <f ca="1">_xll.RiskPoisson(C12)</f>
        <v>0</v>
      </c>
      <c r="E12" s="28">
        <f ca="1">_xll.RiskLognormAlt(5%,I12,50%,J12,95%,K12,_xll.RiskTruncate(H12,))</f>
        <v>593706.67183743347</v>
      </c>
      <c r="F12" s="28">
        <f ca="1">_xll.RiskCompound(D12,E12,_xll.RiskName(B12))</f>
        <v>117721.66276758004</v>
      </c>
      <c r="G12" s="57"/>
      <c r="H12" s="75">
        <v>25000</v>
      </c>
      <c r="I12" s="42">
        <v>250000</v>
      </c>
      <c r="J12" s="42">
        <v>500000</v>
      </c>
      <c r="K12" s="42">
        <v>1250000</v>
      </c>
      <c r="L12" s="42"/>
      <c r="M12" s="45">
        <f ca="1">_xll.RiskTheoPercentile(E12,M$3)</f>
        <v>6598578.4409534</v>
      </c>
      <c r="N12" s="42">
        <f ca="1">_xll.RiskTheoMin(E12)</f>
        <v>124999.99999999983</v>
      </c>
      <c r="O12" s="57">
        <f ca="1">_xll.RiskMax(F12)</f>
        <v>5742606.2168825194</v>
      </c>
    </row>
    <row r="13" spans="2:15" x14ac:dyDescent="0.35">
      <c r="B13" t="s">
        <v>26</v>
      </c>
      <c r="C13" s="37">
        <v>1.2</v>
      </c>
      <c r="D13" s="27">
        <f ca="1">_xll.RiskPoisson(C13)</f>
        <v>1</v>
      </c>
      <c r="E13" s="28">
        <f ca="1">_xll.RiskLognormAlt(5%,I13,50%,J13,95%,K13)</f>
        <v>337482.66873497353</v>
      </c>
      <c r="F13" s="28">
        <f ca="1">_xll.RiskCompound(D13,E13,_xll.RiskName(B13))</f>
        <v>404363.63437873626</v>
      </c>
      <c r="G13" s="57"/>
      <c r="H13" s="75"/>
      <c r="I13" s="42">
        <v>200000</v>
      </c>
      <c r="J13" s="42">
        <v>300000</v>
      </c>
      <c r="K13" s="42">
        <v>600000</v>
      </c>
      <c r="L13" s="42"/>
      <c r="M13" s="45">
        <f ca="1">_xll.RiskTheoPercentile(E13,M$3)</f>
        <v>2739431.3763813619</v>
      </c>
      <c r="N13" s="42">
        <f ca="1">_xll.RiskTheoMin(E13)</f>
        <v>150000.00000000006</v>
      </c>
      <c r="O13" s="57">
        <f ca="1">_xll.RiskMax(F13)</f>
        <v>3744223.8076523305</v>
      </c>
    </row>
    <row r="14" spans="2:15" x14ac:dyDescent="0.35">
      <c r="B14" t="s">
        <v>27</v>
      </c>
      <c r="C14" s="35">
        <v>0.2</v>
      </c>
      <c r="D14" s="27">
        <f ca="1">_xll.RiskBernoulli(C14)</f>
        <v>0</v>
      </c>
      <c r="E14" s="28">
        <f ca="1">_xll.RiskLognormAlt(5%,I14,50%,J14,95%,K14)</f>
        <v>155622.40031024604</v>
      </c>
      <c r="F14" s="28">
        <f ca="1">_xll.RiskCompound(D14,E14,_xll.RiskName(B14))</f>
        <v>31115.50496352496</v>
      </c>
      <c r="G14" s="57"/>
      <c r="H14" s="75"/>
      <c r="I14" s="42">
        <v>135000</v>
      </c>
      <c r="J14" s="42">
        <v>150000</v>
      </c>
      <c r="K14" s="42">
        <v>195000</v>
      </c>
      <c r="L14" s="42"/>
      <c r="M14" s="45">
        <f ca="1">_xll.RiskTheoPercentile(E14,M$3)</f>
        <v>515914.7064572043</v>
      </c>
      <c r="N14" s="42">
        <f ca="1">_xll.RiskTheoMin(E14)</f>
        <v>127500.00000000001</v>
      </c>
      <c r="O14" s="57">
        <f ca="1">_xll.RiskMax(F14)</f>
        <v>526985.58594777714</v>
      </c>
    </row>
    <row r="15" spans="2:15" x14ac:dyDescent="0.35">
      <c r="B15" s="43" t="s">
        <v>43</v>
      </c>
      <c r="C15" s="36"/>
      <c r="D15" s="29"/>
      <c r="E15" s="40"/>
      <c r="F15" s="30"/>
      <c r="G15" s="31"/>
      <c r="H15" s="31"/>
      <c r="I15" s="26"/>
    </row>
    <row r="17" spans="2:14" x14ac:dyDescent="0.35">
      <c r="B17" s="32" t="s">
        <v>11</v>
      </c>
      <c r="E17" s="74" t="str">
        <f>_xll.RiskResultsGraph(C20,E18:N44,19)</f>
        <v>@RISK graph</v>
      </c>
    </row>
    <row r="18" spans="2:14" x14ac:dyDescent="0.35">
      <c r="B18" t="s">
        <v>31</v>
      </c>
      <c r="C18" s="33">
        <f ca="1">_xll.RiskOutput(B18)+SUM(F4:F14)</f>
        <v>1175717.9390980769</v>
      </c>
      <c r="E18" s="65"/>
      <c r="F18" s="66"/>
      <c r="G18" s="66"/>
      <c r="H18" s="66"/>
      <c r="I18" s="66"/>
      <c r="J18" s="66"/>
      <c r="K18" s="66"/>
      <c r="L18" s="66"/>
      <c r="M18" s="66"/>
      <c r="N18" s="67"/>
    </row>
    <row r="19" spans="2:14" x14ac:dyDescent="0.35">
      <c r="B19" t="s">
        <v>32</v>
      </c>
      <c r="C19" s="33">
        <f ca="1">'Direct Costs'!J13</f>
        <v>18805093.023735993</v>
      </c>
      <c r="E19" s="68"/>
      <c r="F19" s="69"/>
      <c r="G19" s="69"/>
      <c r="H19" s="69"/>
      <c r="I19" s="69"/>
      <c r="J19" s="69"/>
      <c r="K19" s="69"/>
      <c r="L19" s="69"/>
      <c r="M19" s="69"/>
      <c r="N19" s="70"/>
    </row>
    <row r="20" spans="2:14" x14ac:dyDescent="0.35">
      <c r="B20" t="s">
        <v>33</v>
      </c>
      <c r="C20" s="33">
        <f ca="1">_xll.RiskOutput(B20,,,_xll.RiskConvergence(50000,1,95%,FALSE,FALSE,TRUE,95%))+SUM(C18:C19)</f>
        <v>19980810.962834068</v>
      </c>
      <c r="E20" s="68"/>
      <c r="F20" s="69"/>
      <c r="G20" s="69"/>
      <c r="H20" s="69"/>
      <c r="I20" s="69"/>
      <c r="J20" s="69"/>
      <c r="K20" s="69"/>
      <c r="L20" s="69"/>
      <c r="M20" s="69"/>
      <c r="N20" s="70"/>
    </row>
    <row r="21" spans="2:14" x14ac:dyDescent="0.35">
      <c r="E21" s="68"/>
      <c r="F21" s="69"/>
      <c r="G21" s="69"/>
      <c r="H21" s="69"/>
      <c r="I21" s="69"/>
      <c r="J21" s="69"/>
      <c r="K21" s="69"/>
      <c r="L21" s="69"/>
      <c r="M21" s="69"/>
      <c r="N21" s="70"/>
    </row>
    <row r="22" spans="2:14" x14ac:dyDescent="0.35">
      <c r="B22" s="32" t="s">
        <v>13</v>
      </c>
      <c r="E22" s="68"/>
      <c r="F22" s="69"/>
      <c r="G22" s="69"/>
      <c r="H22" s="69"/>
      <c r="I22" s="69"/>
      <c r="J22" s="69"/>
      <c r="K22" s="69"/>
      <c r="L22" s="69"/>
      <c r="M22" s="69"/>
      <c r="N22" s="70"/>
    </row>
    <row r="23" spans="2:14" x14ac:dyDescent="0.35">
      <c r="B23" t="s">
        <v>28</v>
      </c>
      <c r="C23" s="34">
        <f ca="1">_xll.RiskMean(C18)</f>
        <v>1184515.1806438961</v>
      </c>
      <c r="E23" s="68"/>
      <c r="F23" s="69"/>
      <c r="G23" s="69"/>
      <c r="H23" s="69"/>
      <c r="I23" s="69"/>
      <c r="J23" s="69"/>
      <c r="K23" s="69"/>
      <c r="L23" s="69"/>
      <c r="M23" s="69"/>
      <c r="N23" s="70"/>
    </row>
    <row r="24" spans="2:14" x14ac:dyDescent="0.35">
      <c r="B24" t="s">
        <v>29</v>
      </c>
      <c r="C24" s="34">
        <f ca="1">_xll.RiskStdDev(C18)</f>
        <v>749183.47047139518</v>
      </c>
      <c r="E24" s="68"/>
      <c r="F24" s="69"/>
      <c r="G24" s="69"/>
      <c r="H24" s="69"/>
      <c r="I24" s="69"/>
      <c r="J24" s="69"/>
      <c r="K24" s="69"/>
      <c r="L24" s="69"/>
      <c r="M24" s="69"/>
      <c r="N24" s="70"/>
    </row>
    <row r="25" spans="2:14" x14ac:dyDescent="0.35">
      <c r="B25" t="s">
        <v>47</v>
      </c>
      <c r="C25" s="60">
        <f ca="1">_xll.RiskTarget(C18,0)</f>
        <v>2.904E-2</v>
      </c>
      <c r="E25" s="68"/>
      <c r="F25" s="69"/>
      <c r="G25" s="69"/>
      <c r="H25" s="69"/>
      <c r="I25" s="69"/>
      <c r="J25" s="69"/>
      <c r="K25" s="69"/>
      <c r="L25" s="69"/>
      <c r="M25" s="69"/>
      <c r="N25" s="70"/>
    </row>
    <row r="26" spans="2:14" x14ac:dyDescent="0.35">
      <c r="B26" t="s">
        <v>30</v>
      </c>
      <c r="C26" s="60">
        <f ca="1">_xll.RiskTargetD(C18,1000000)</f>
        <v>0.54254965142602918</v>
      </c>
      <c r="E26" s="68"/>
      <c r="F26" s="69"/>
      <c r="G26" s="69"/>
      <c r="H26" s="69"/>
      <c r="I26" s="69"/>
      <c r="J26" s="69"/>
      <c r="K26" s="69"/>
      <c r="L26" s="69"/>
      <c r="M26" s="69"/>
      <c r="N26" s="70"/>
    </row>
    <row r="27" spans="2:14" x14ac:dyDescent="0.35">
      <c r="E27" s="68"/>
      <c r="F27" s="69"/>
      <c r="G27" s="69"/>
      <c r="H27" s="69"/>
      <c r="I27" s="69"/>
      <c r="J27" s="69"/>
      <c r="K27" s="69"/>
      <c r="L27" s="69"/>
      <c r="M27" s="69"/>
      <c r="N27" s="70"/>
    </row>
    <row r="28" spans="2:14" x14ac:dyDescent="0.35">
      <c r="E28" s="68"/>
      <c r="F28" s="69"/>
      <c r="G28" s="69"/>
      <c r="H28" s="69"/>
      <c r="I28" s="69"/>
      <c r="J28" s="69"/>
      <c r="K28" s="69"/>
      <c r="L28" s="69"/>
      <c r="M28" s="69"/>
      <c r="N28" s="70"/>
    </row>
    <row r="29" spans="2:14" x14ac:dyDescent="0.35">
      <c r="E29" s="68"/>
      <c r="F29" s="69"/>
      <c r="G29" s="69"/>
      <c r="H29" s="69"/>
      <c r="I29" s="69"/>
      <c r="J29" s="69"/>
      <c r="K29" s="69"/>
      <c r="L29" s="69"/>
      <c r="M29" s="69"/>
      <c r="N29" s="70"/>
    </row>
    <row r="30" spans="2:14" x14ac:dyDescent="0.35">
      <c r="E30" s="68"/>
      <c r="F30" s="69"/>
      <c r="G30" s="69"/>
      <c r="H30" s="69"/>
      <c r="I30" s="69"/>
      <c r="J30" s="69"/>
      <c r="K30" s="69"/>
      <c r="L30" s="69"/>
      <c r="M30" s="69"/>
      <c r="N30" s="70"/>
    </row>
    <row r="31" spans="2:14" x14ac:dyDescent="0.35">
      <c r="E31" s="68"/>
      <c r="F31" s="69"/>
      <c r="G31" s="69"/>
      <c r="H31" s="69"/>
      <c r="I31" s="69"/>
      <c r="J31" s="69"/>
      <c r="K31" s="69"/>
      <c r="L31" s="69"/>
      <c r="M31" s="69"/>
      <c r="N31" s="70"/>
    </row>
    <row r="32" spans="2:14" x14ac:dyDescent="0.35">
      <c r="E32" s="68"/>
      <c r="F32" s="69"/>
      <c r="G32" s="69"/>
      <c r="H32" s="69"/>
      <c r="I32" s="69"/>
      <c r="J32" s="69"/>
      <c r="K32" s="69"/>
      <c r="L32" s="69"/>
      <c r="M32" s="69"/>
      <c r="N32" s="70"/>
    </row>
    <row r="33" spans="5:14" x14ac:dyDescent="0.35">
      <c r="E33" s="68"/>
      <c r="F33" s="69"/>
      <c r="G33" s="69"/>
      <c r="H33" s="69"/>
      <c r="I33" s="69"/>
      <c r="J33" s="69"/>
      <c r="K33" s="69"/>
      <c r="L33" s="69"/>
      <c r="M33" s="69"/>
      <c r="N33" s="70"/>
    </row>
    <row r="34" spans="5:14" x14ac:dyDescent="0.35">
      <c r="E34" s="68"/>
      <c r="F34" s="69"/>
      <c r="G34" s="69"/>
      <c r="H34" s="69"/>
      <c r="I34" s="69"/>
      <c r="J34" s="69"/>
      <c r="K34" s="69"/>
      <c r="L34" s="69"/>
      <c r="M34" s="69"/>
      <c r="N34" s="70"/>
    </row>
    <row r="35" spans="5:14" x14ac:dyDescent="0.35">
      <c r="E35" s="68"/>
      <c r="F35" s="69"/>
      <c r="G35" s="69"/>
      <c r="H35" s="69"/>
      <c r="I35" s="69"/>
      <c r="J35" s="69"/>
      <c r="K35" s="69"/>
      <c r="L35" s="69"/>
      <c r="M35" s="69"/>
      <c r="N35" s="70"/>
    </row>
    <row r="36" spans="5:14" x14ac:dyDescent="0.35">
      <c r="E36" s="68"/>
      <c r="F36" s="69"/>
      <c r="G36" s="69"/>
      <c r="H36" s="69"/>
      <c r="I36" s="69"/>
      <c r="J36" s="69"/>
      <c r="K36" s="69"/>
      <c r="L36" s="69"/>
      <c r="M36" s="69"/>
      <c r="N36" s="70"/>
    </row>
    <row r="37" spans="5:14" x14ac:dyDescent="0.35">
      <c r="E37" s="68"/>
      <c r="F37" s="69"/>
      <c r="G37" s="69"/>
      <c r="H37" s="69"/>
      <c r="I37" s="69"/>
      <c r="J37" s="69"/>
      <c r="K37" s="69"/>
      <c r="L37" s="69"/>
      <c r="M37" s="69"/>
      <c r="N37" s="70"/>
    </row>
    <row r="38" spans="5:14" x14ac:dyDescent="0.35">
      <c r="E38" s="68"/>
      <c r="F38" s="69"/>
      <c r="G38" s="69"/>
      <c r="H38" s="69"/>
      <c r="I38" s="69"/>
      <c r="J38" s="69"/>
      <c r="K38" s="69"/>
      <c r="L38" s="69"/>
      <c r="M38" s="69"/>
      <c r="N38" s="70"/>
    </row>
    <row r="39" spans="5:14" x14ac:dyDescent="0.35">
      <c r="E39" s="68"/>
      <c r="F39" s="69"/>
      <c r="G39" s="69"/>
      <c r="H39" s="69"/>
      <c r="I39" s="69"/>
      <c r="J39" s="69"/>
      <c r="K39" s="69"/>
      <c r="L39" s="69"/>
      <c r="M39" s="69"/>
      <c r="N39" s="70"/>
    </row>
    <row r="40" spans="5:14" x14ac:dyDescent="0.35">
      <c r="E40" s="68"/>
      <c r="F40" s="69"/>
      <c r="G40" s="69"/>
      <c r="H40" s="69"/>
      <c r="I40" s="69"/>
      <c r="J40" s="69"/>
      <c r="K40" s="69"/>
      <c r="L40" s="69"/>
      <c r="M40" s="69"/>
      <c r="N40" s="70"/>
    </row>
    <row r="41" spans="5:14" x14ac:dyDescent="0.35">
      <c r="E41" s="68"/>
      <c r="F41" s="69"/>
      <c r="G41" s="69"/>
      <c r="H41" s="69"/>
      <c r="I41" s="69"/>
      <c r="J41" s="69"/>
      <c r="K41" s="69"/>
      <c r="L41" s="69"/>
      <c r="M41" s="69"/>
      <c r="N41" s="70"/>
    </row>
    <row r="42" spans="5:14" x14ac:dyDescent="0.35">
      <c r="E42" s="68"/>
      <c r="F42" s="69"/>
      <c r="G42" s="69"/>
      <c r="H42" s="69"/>
      <c r="I42" s="69"/>
      <c r="J42" s="69"/>
      <c r="K42" s="69"/>
      <c r="L42" s="69"/>
      <c r="M42" s="69"/>
      <c r="N42" s="70"/>
    </row>
    <row r="43" spans="5:14" x14ac:dyDescent="0.35">
      <c r="E43" s="68"/>
      <c r="F43" s="69"/>
      <c r="G43" s="69"/>
      <c r="H43" s="69"/>
      <c r="I43" s="69"/>
      <c r="J43" s="69"/>
      <c r="K43" s="69"/>
      <c r="L43" s="69"/>
      <c r="M43" s="69"/>
      <c r="N43" s="70"/>
    </row>
    <row r="44" spans="5:14" x14ac:dyDescent="0.35">
      <c r="E44" s="71"/>
      <c r="F44" s="72"/>
      <c r="G44" s="72"/>
      <c r="H44" s="72"/>
      <c r="I44" s="72"/>
      <c r="J44" s="72"/>
      <c r="K44" s="72"/>
      <c r="L44" s="72"/>
      <c r="M44" s="72"/>
      <c r="N44" s="73"/>
    </row>
  </sheetData>
  <conditionalFormatting sqref="C19">
    <cfRule type="expression" dxfId="8" priority="35" stopIfTrue="1">
      <formula>RiskIsOutput</formula>
    </cfRule>
  </conditionalFormatting>
  <conditionalFormatting sqref="E15">
    <cfRule type="expression" dxfId="7" priority="41" stopIfTrue="1">
      <formula>RiskIsInput</formula>
    </cfRule>
  </conditionalFormatting>
  <conditionalFormatting sqref="E17">
    <cfRule type="expression" dxfId="6" priority="49" stopIfTrue="1">
      <formula>RiskIsStatistics</formula>
    </cfRule>
  </conditionalFormatting>
  <conditionalFormatting sqref="C18 C20">
    <cfRule type="expression" dxfId="5" priority="95" stopIfTrue="1">
      <formula>RiskIsOutput</formula>
    </cfRule>
  </conditionalFormatting>
  <conditionalFormatting sqref="D4:F14">
    <cfRule type="expression" dxfId="4" priority="96" stopIfTrue="1">
      <formula>RiskIsInput</formula>
    </cfRule>
  </conditionalFormatting>
  <conditionalFormatting sqref="M4:O14 C23:C26">
    <cfRule type="expression" dxfId="3" priority="97" stopIfTrue="1">
      <formula>RiskIsStatistics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tabSelected="1" zoomScale="130" zoomScaleNormal="130" workbookViewId="0">
      <selection activeCell="J15" sqref="J15"/>
    </sheetView>
  </sheetViews>
  <sheetFormatPr defaultRowHeight="14.5" x14ac:dyDescent="0.35"/>
  <cols>
    <col min="3" max="3" width="14.9140625" customWidth="1"/>
    <col min="4" max="4" width="13.9140625" customWidth="1"/>
    <col min="5" max="5" width="14.9140625" customWidth="1"/>
    <col min="7" max="7" width="13.75" customWidth="1"/>
  </cols>
  <sheetData>
    <row r="3" spans="2:9" x14ac:dyDescent="0.35">
      <c r="B3" s="49" t="s">
        <v>48</v>
      </c>
      <c r="C3" s="50"/>
      <c r="D3" s="50"/>
      <c r="E3" s="50"/>
    </row>
    <row r="4" spans="2:9" x14ac:dyDescent="0.35">
      <c r="B4" s="48"/>
      <c r="C4" s="51" t="s">
        <v>49</v>
      </c>
      <c r="D4" s="51" t="s">
        <v>50</v>
      </c>
      <c r="E4" s="51" t="s">
        <v>51</v>
      </c>
      <c r="G4" s="61" t="s">
        <v>55</v>
      </c>
      <c r="H4" s="62" t="s">
        <v>60</v>
      </c>
      <c r="I4" s="61" t="s">
        <v>61</v>
      </c>
    </row>
    <row r="5" spans="2:9" x14ac:dyDescent="0.35">
      <c r="B5" s="47" t="s">
        <v>52</v>
      </c>
      <c r="C5" s="54">
        <f ca="1">_xll.RiskMean('Direct Costs'!J13)</f>
        <v>18805093.328775067</v>
      </c>
      <c r="D5" s="54">
        <f ca="1">_xll.RiskMean('Indirect Costs'!C18)</f>
        <v>1184515.1806438961</v>
      </c>
      <c r="E5" s="54">
        <f ca="1">_xll.RiskMean('Indirect Costs'!C20)</f>
        <v>19989608.50941867</v>
      </c>
      <c r="G5" s="63">
        <f ca="1">SUM(C5:D5)</f>
        <v>19989608.509418964</v>
      </c>
      <c r="H5" s="64">
        <f ca="1">(G5-E5)/E5</f>
        <v>1.4722546138901339E-14</v>
      </c>
      <c r="I5" s="64">
        <f ca="1">_xll.RiskTarget('Indirect Costs'!$C$20,G5)</f>
        <v>0.53184380121365349</v>
      </c>
    </row>
    <row r="6" spans="2:9" x14ac:dyDescent="0.35">
      <c r="B6" s="52">
        <v>0.25</v>
      </c>
      <c r="C6" s="54">
        <f ca="1">_xll.RiskPercentile('Direct Costs'!$J$13,B6)</f>
        <v>18301176.092239406</v>
      </c>
      <c r="D6" s="54">
        <f ca="1">_xll.RiskPercentile('Indirect Costs'!$C$18,B6)</f>
        <v>637471.7222078722</v>
      </c>
      <c r="E6" s="54">
        <f ca="1">_xll.RiskPercentile('Indirect Costs'!$C$20,B6)</f>
        <v>19257306.077458765</v>
      </c>
      <c r="G6" s="63">
        <f ca="1">SUM(C6:D6)</f>
        <v>18938647.814447276</v>
      </c>
      <c r="H6" s="64">
        <f t="shared" ref="H6:H14" ca="1" si="0">(G6-E6)/E6</f>
        <v>-1.6547395660106778E-2</v>
      </c>
      <c r="I6" s="64">
        <f ca="1">_xll.RiskTarget('Indirect Costs'!$C$20,G6)</f>
        <v>0.14919928842235219</v>
      </c>
    </row>
    <row r="7" spans="2:9" x14ac:dyDescent="0.35">
      <c r="B7" s="55">
        <v>0.5</v>
      </c>
      <c r="C7" s="56">
        <f ca="1">_xll.RiskPercentile('Direct Costs'!$J$13,B7)</f>
        <v>18746133.364272676</v>
      </c>
      <c r="D7" s="56">
        <f ca="1">_xll.RiskPercentile('Indirect Costs'!$C$18,B7)</f>
        <v>1075759.7296537375</v>
      </c>
      <c r="E7" s="56">
        <f ca="1">_xll.RiskPercentile('Indirect Costs'!$C$20,B7)</f>
        <v>19907766.514084641</v>
      </c>
      <c r="G7" s="63">
        <f ca="1">SUM(C7:D7)</f>
        <v>19821893.093926415</v>
      </c>
      <c r="H7" s="64">
        <f t="shared" ca="1" si="0"/>
        <v>-4.3135637590219402E-3</v>
      </c>
      <c r="I7" s="64">
        <f ca="1">_xll.RiskTarget('Indirect Costs'!$C$20,G7)</f>
        <v>0.46676973845612418</v>
      </c>
    </row>
    <row r="8" spans="2:9" x14ac:dyDescent="0.35">
      <c r="B8" s="52">
        <v>0.75</v>
      </c>
      <c r="C8" s="54">
        <f ca="1">_xll.RiskPercentile('Direct Costs'!$J$13,B8)</f>
        <v>19244608.256799594</v>
      </c>
      <c r="D8" s="54">
        <f ca="1">_xll.RiskPercentile('Indirect Costs'!$C$18,B8)</f>
        <v>1613364.3688907018</v>
      </c>
      <c r="E8" s="54">
        <f ca="1">_xll.RiskPercentile('Indirect Costs'!$C$20,B8)</f>
        <v>20626270.589175887</v>
      </c>
      <c r="G8" s="63">
        <f t="shared" ref="G8:G14" ca="1" si="1">SUM(C8:D8)</f>
        <v>20857972.625690296</v>
      </c>
      <c r="H8" s="64">
        <f t="shared" ca="1" si="0"/>
        <v>1.12333461113421E-2</v>
      </c>
      <c r="I8" s="64">
        <f ca="1">_xll.RiskTarget('Indirect Costs'!$C$20,G8)</f>
        <v>0.81054864321317788</v>
      </c>
    </row>
    <row r="9" spans="2:9" x14ac:dyDescent="0.35">
      <c r="B9" s="52">
        <v>0.8</v>
      </c>
      <c r="C9" s="54">
        <f ca="1">_xll.RiskPercentile('Direct Costs'!$J$13,B9)</f>
        <v>19374412.553439435</v>
      </c>
      <c r="D9" s="54">
        <f ca="1">_xll.RiskPercentile('Indirect Costs'!$C$18,B9)</f>
        <v>1761969.6470098193</v>
      </c>
      <c r="E9" s="54">
        <f ca="1">_xll.RiskPercentile('Indirect Costs'!$C$20,B9)</f>
        <v>20816461.037552059</v>
      </c>
      <c r="G9" s="63">
        <f t="shared" ca="1" si="1"/>
        <v>21136382.200449254</v>
      </c>
      <c r="H9" s="64">
        <f t="shared" ca="1" si="0"/>
        <v>1.5368662440751612E-2</v>
      </c>
      <c r="I9" s="64">
        <f ca="1">_xll.RiskTarget('Indirect Costs'!$C$20,G9)</f>
        <v>0.86816497278607274</v>
      </c>
    </row>
    <row r="10" spans="2:9" x14ac:dyDescent="0.35">
      <c r="B10" s="55">
        <v>0.9</v>
      </c>
      <c r="C10" s="56">
        <f ca="1">_xll.RiskPercentile('Direct Costs'!$J$13,B10)</f>
        <v>19739064.840176478</v>
      </c>
      <c r="D10" s="56">
        <f ca="1">_xll.RiskPercentile('Indirect Costs'!$C$18,B10)</f>
        <v>2182064.5883513172</v>
      </c>
      <c r="E10" s="56">
        <f ca="1">_xll.RiskPercentile('Indirect Costs'!$C$20,B10)</f>
        <v>21335772.404098392</v>
      </c>
      <c r="G10" s="63">
        <f t="shared" ca="1" si="1"/>
        <v>21921129.428527795</v>
      </c>
      <c r="H10" s="64">
        <f t="shared" ca="1" si="0"/>
        <v>2.7435473782845655E-2</v>
      </c>
      <c r="I10" s="64">
        <f ca="1">_xll.RiskTarget('Indirect Costs'!$C$20,G10)</f>
        <v>0.95811501552526079</v>
      </c>
    </row>
    <row r="11" spans="2:9" x14ac:dyDescent="0.35">
      <c r="B11" s="52">
        <v>0.95</v>
      </c>
      <c r="C11" s="54">
        <f ca="1">_xll.RiskPercentile('Direct Costs'!$J$13,B11)</f>
        <v>20057345.119465608</v>
      </c>
      <c r="D11" s="54">
        <f ca="1">_xll.RiskPercentile('Indirect Costs'!$C$18,B11)</f>
        <v>2563024.863799178</v>
      </c>
      <c r="E11" s="54">
        <f ca="1">_xll.RiskPercentile('Indirect Costs'!$C$20,B11)</f>
        <v>21810196.936990868</v>
      </c>
      <c r="G11" s="63">
        <f t="shared" ca="1" si="1"/>
        <v>22620369.983264785</v>
      </c>
      <c r="H11" s="64">
        <f t="shared" ca="1" si="0"/>
        <v>3.7146525939884323E-2</v>
      </c>
      <c r="I11" s="64">
        <f ca="1">_xll.RiskTarget('Indirect Costs'!$C$20,G11)</f>
        <v>0.98727131446571259</v>
      </c>
    </row>
    <row r="12" spans="2:9" x14ac:dyDescent="0.35">
      <c r="B12" s="52">
        <v>0.99</v>
      </c>
      <c r="C12" s="54">
        <f ca="1">_xll.RiskPercentile('Direct Costs'!$J$13,B12)</f>
        <v>20690343.992768507</v>
      </c>
      <c r="D12" s="54">
        <f ca="1">_xll.RiskPercentile('Indirect Costs'!$C$18,B12)</f>
        <v>3376223.2703329837</v>
      </c>
      <c r="E12" s="54">
        <f ca="1">_xll.RiskPercentile('Indirect Costs'!$C$20,B12)</f>
        <v>22753381.902268469</v>
      </c>
      <c r="G12" s="63">
        <f t="shared" ca="1" si="1"/>
        <v>24066567.263101492</v>
      </c>
      <c r="H12" s="64">
        <f t="shared" ca="1" si="0"/>
        <v>5.7713853987661531E-2</v>
      </c>
      <c r="I12" s="64">
        <f ca="1">_xll.RiskTarget('Indirect Costs'!$C$20,G12)</f>
        <v>0.99900631571435583</v>
      </c>
    </row>
    <row r="13" spans="2:9" x14ac:dyDescent="0.35">
      <c r="B13" s="53">
        <v>0.999</v>
      </c>
      <c r="C13" s="54">
        <f ca="1">_xll.RiskPercentile('Direct Costs'!$J$13,B13)</f>
        <v>21475176.254700225</v>
      </c>
      <c r="D13" s="54">
        <f ca="1">_xll.RiskPercentile('Indirect Costs'!$C$18,B13)</f>
        <v>4624614.4642101079</v>
      </c>
      <c r="E13" s="54">
        <f ca="1">_xll.RiskPercentile('Indirect Costs'!$C$20,B13)</f>
        <v>24059931.79381106</v>
      </c>
      <c r="G13" s="63">
        <f t="shared" ca="1" si="1"/>
        <v>26099790.718910333</v>
      </c>
      <c r="H13" s="64">
        <f t="shared" ca="1" si="0"/>
        <v>8.4782406807320437E-2</v>
      </c>
      <c r="I13" s="64">
        <f ca="1">_xll.RiskTarget('Indirect Costs'!$C$20,G13)</f>
        <v>0.99994975157902821</v>
      </c>
    </row>
    <row r="14" spans="2:9" x14ac:dyDescent="0.35">
      <c r="B14" s="53">
        <v>0.99990000000000001</v>
      </c>
      <c r="C14" s="54">
        <f ca="1">_xll.RiskPercentile('Direct Costs'!$J$13,B14)</f>
        <v>22088589.88000533</v>
      </c>
      <c r="D14" s="54">
        <f ca="1">_xll.RiskPercentile('Indirect Costs'!$C$18,B14)</f>
        <v>6143123.5109557435</v>
      </c>
      <c r="E14" s="54">
        <f ca="1">_xll.RiskPercentile('Indirect Costs'!$C$20,B14)</f>
        <v>25254911.308381308</v>
      </c>
      <c r="G14" s="63">
        <f t="shared" ca="1" si="1"/>
        <v>28231713.390961073</v>
      </c>
      <c r="H14" s="64">
        <f t="shared" ca="1" si="0"/>
        <v>0.11787022517049421</v>
      </c>
      <c r="I14" s="64">
        <f ca="1">_xll.RiskTarget('Indirect Costs'!$C$20,G14)</f>
        <v>0.99999706660544152</v>
      </c>
    </row>
  </sheetData>
  <conditionalFormatting sqref="C5:E8 C11:E14">
    <cfRule type="expression" dxfId="2" priority="3" stopIfTrue="1">
      <formula>RiskIsStatistics</formula>
    </cfRule>
  </conditionalFormatting>
  <conditionalFormatting sqref="C9:E9">
    <cfRule type="expression" dxfId="1" priority="2" stopIfTrue="1">
      <formula>RiskIsStatistics</formula>
    </cfRule>
  </conditionalFormatting>
  <conditionalFormatting sqref="C10:E10">
    <cfRule type="expression" dxfId="0" priority="1" stopIfTrue="1">
      <formula>RiskIsStatistics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Direct Costs</vt:lpstr>
      <vt:lpstr>RiskSerializationData</vt:lpstr>
      <vt:lpstr>Indirect Costs</vt:lpstr>
      <vt:lpstr>Results</vt:lpstr>
      <vt:lpstr>Names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Rishi Prabhakar</cp:lastModifiedBy>
  <dcterms:created xsi:type="dcterms:W3CDTF">2014-05-29T03:25:52Z</dcterms:created>
  <dcterms:modified xsi:type="dcterms:W3CDTF">2018-11-28T01:51:36Z</dcterms:modified>
</cp:coreProperties>
</file>